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tabRatio="802" firstSheet="1" activeTab="1"/>
  </bookViews>
  <sheets>
    <sheet name="Capital Cost Estimate" sheetId="1" r:id="rId1"/>
    <sheet name="Capital Cost Assumptions" sheetId="2" r:id="rId2"/>
    <sheet name="Operating Cost Estimate" sheetId="3" r:id="rId3"/>
    <sheet name="Operating Cost Assumptions" sheetId="4" r:id="rId4"/>
    <sheet name="Cash Flow Estimates_KGP" sheetId="5" r:id="rId5"/>
    <sheet name="Cash Flow_Scenario 1" sheetId="6" r:id="rId6"/>
    <sheet name="Cash Flow_Scenario 2" sheetId="7" r:id="rId7"/>
    <sheet name="Cash Flow_Scenario 3" sheetId="8" r:id="rId8"/>
    <sheet name="Cash Flow_Scenario 4" sheetId="9" r:id="rId9"/>
  </sheets>
  <definedNames>
    <definedName name="_xlnm.Print_Area" localSheetId="1">'Capital Cost Assumptions'!$A$1:$L$410</definedName>
    <definedName name="_xlnm.Print_Area" localSheetId="0">'Capital Cost Estimate'!$A$1:$AE$458</definedName>
    <definedName name="_xlnm.Print_Area" localSheetId="3">'Operating Cost Assumptions'!$A$1:$L$55</definedName>
    <definedName name="_xlnm.Print_Area" localSheetId="2">'Operating Cost Estimate'!$A$1:$P$70</definedName>
    <definedName name="_xlnm.Print_Titles" localSheetId="1">'Capital Cost Assumptions'!$J:$J,'Capital Cost Assumptions'!$1:$6</definedName>
    <definedName name="_xlnm.Print_Titles" localSheetId="0">'Capital Cost Estimate'!$1:$6</definedName>
    <definedName name="_xlnm.Print_Titles" localSheetId="4">'Cash Flow Estimates_KGP'!$1:$8</definedName>
    <definedName name="_xlnm.Print_Titles" localSheetId="7">'Cash Flow_Scenario 3'!$1:$8</definedName>
    <definedName name="_xlnm.Print_Titles" localSheetId="8">'Cash Flow_Scenario 4'!$1:$8</definedName>
  </definedNames>
  <calcPr fullCalcOnLoad="1"/>
</workbook>
</file>

<file path=xl/sharedStrings.xml><?xml version="1.0" encoding="utf-8"?>
<sst xmlns="http://schemas.openxmlformats.org/spreadsheetml/2006/main" count="2054" uniqueCount="534">
  <si>
    <t>Tasks</t>
  </si>
  <si>
    <t>Line</t>
  </si>
  <si>
    <t>Manpower</t>
  </si>
  <si>
    <t>Equipment</t>
  </si>
  <si>
    <t>Materials</t>
  </si>
  <si>
    <t>Total Cost</t>
  </si>
  <si>
    <t>Unit</t>
  </si>
  <si>
    <t>No. Units</t>
  </si>
  <si>
    <t>Unit Cost</t>
  </si>
  <si>
    <t>ac</t>
  </si>
  <si>
    <t>Flat</t>
  </si>
  <si>
    <t>Contour</t>
  </si>
  <si>
    <t>Rip</t>
  </si>
  <si>
    <t>Cover</t>
  </si>
  <si>
    <t>Growth Medium</t>
  </si>
  <si>
    <t>Sloped</t>
  </si>
  <si>
    <t>Earthwork/Recontouring Subtotal</t>
  </si>
  <si>
    <t>Blade</t>
  </si>
  <si>
    <t>Seeding (seed, equipment, labor)</t>
  </si>
  <si>
    <t>Seeding (seed + equipment + labor)</t>
  </si>
  <si>
    <t>Revegetation/Stabilization Subtotal</t>
  </si>
  <si>
    <t>2a</t>
  </si>
  <si>
    <t>2b</t>
  </si>
  <si>
    <t>2c</t>
  </si>
  <si>
    <t>2d</t>
  </si>
  <si>
    <t>2e</t>
  </si>
  <si>
    <t>Install additional groundwater controls</t>
  </si>
  <si>
    <t>3a</t>
  </si>
  <si>
    <t>3b</t>
  </si>
  <si>
    <t>3c</t>
  </si>
  <si>
    <t>Removal and/or Demolition</t>
  </si>
  <si>
    <t>Miscellaneous</t>
  </si>
  <si>
    <t>Subtotal Miscellaneous</t>
  </si>
  <si>
    <t>Water Treatment Capture, Pump, Treatment and Discharge</t>
  </si>
  <si>
    <t>Interceptor wells</t>
  </si>
  <si>
    <t>Collection and distribution</t>
  </si>
  <si>
    <t>Degritting/equilization ponds</t>
  </si>
  <si>
    <t>Sludge disposal facilities</t>
  </si>
  <si>
    <t>Effluent disposal facilities</t>
  </si>
  <si>
    <t>Subtotal Water Treatment Capture, Pump, Treatment and Discharge</t>
  </si>
  <si>
    <t>Indirect Costs</t>
  </si>
  <si>
    <t>Contingency</t>
  </si>
  <si>
    <t>Mobilization and demobilization</t>
  </si>
  <si>
    <t>Engineering redesign</t>
  </si>
  <si>
    <t>Engineering, procurement, construction management</t>
  </si>
  <si>
    <t>Contractor Overhead</t>
  </si>
  <si>
    <t>Contractor Profit</t>
  </si>
  <si>
    <t>Agency Administration</t>
  </si>
  <si>
    <t>Sub-Total Indirect Costs</t>
  </si>
  <si>
    <t>2a1</t>
  </si>
  <si>
    <t>2a2</t>
  </si>
  <si>
    <t>3f</t>
  </si>
  <si>
    <t>4a</t>
  </si>
  <si>
    <t>4b</t>
  </si>
  <si>
    <t>4c</t>
  </si>
  <si>
    <t>5a</t>
  </si>
  <si>
    <t>5b</t>
  </si>
  <si>
    <t>5c</t>
  </si>
  <si>
    <t>5d</t>
  </si>
  <si>
    <t>6a</t>
  </si>
  <si>
    <t>6b</t>
  </si>
  <si>
    <t>6c</t>
  </si>
  <si>
    <t>6d</t>
  </si>
  <si>
    <t>6e</t>
  </si>
  <si>
    <t>Interim Water Management and Operations</t>
  </si>
  <si>
    <t>Water Treatment Plant</t>
  </si>
  <si>
    <t>Labor</t>
  </si>
  <si>
    <t>Reagents</t>
  </si>
  <si>
    <t>Maintenance</t>
  </si>
  <si>
    <t>Analytical</t>
  </si>
  <si>
    <t>Electric Power</t>
  </si>
  <si>
    <t>Sub-Total Water Treatment Plant</t>
  </si>
  <si>
    <t>General Site Operation and Maintenance</t>
  </si>
  <si>
    <t>3d</t>
  </si>
  <si>
    <t>Office Expense</t>
  </si>
  <si>
    <t>3e</t>
  </si>
  <si>
    <t>Service Expense</t>
  </si>
  <si>
    <t>Site Security</t>
  </si>
  <si>
    <t>Sub-total General Site Operation and Maintenance</t>
  </si>
  <si>
    <t>Long-Term Operation and Maintenance Expense</t>
  </si>
  <si>
    <t>Surface and Groundwater  Monitoring</t>
  </si>
  <si>
    <t>Reclamation Monitoring</t>
  </si>
  <si>
    <t>Reclamation Maintenance</t>
  </si>
  <si>
    <t>4c1</t>
  </si>
  <si>
    <t>4c2</t>
  </si>
  <si>
    <t>4c3</t>
  </si>
  <si>
    <t>Materials and Supplies</t>
  </si>
  <si>
    <t>Sub-Total Long-Term Operation and Maintenance Expense</t>
  </si>
  <si>
    <t>Water Treatment Plant Capital Replacement</t>
  </si>
  <si>
    <t xml:space="preserve">10 yr @ 25% of Water Treatment Plant Capital Costs </t>
  </si>
  <si>
    <t>20 yr @ 25% of Water Treatment Plant Capital Costs</t>
  </si>
  <si>
    <t>40 yr @ 50% of Water Treatment Plant Capital Costs</t>
  </si>
  <si>
    <t>10yr @ $2,000,000 for water management structures</t>
  </si>
  <si>
    <t>Capital Costs</t>
  </si>
  <si>
    <t>Operating Costs</t>
  </si>
  <si>
    <t>Year</t>
  </si>
  <si>
    <t>Water Treatment</t>
  </si>
  <si>
    <t>Grand Total</t>
  </si>
  <si>
    <t>Total</t>
  </si>
  <si>
    <t>Public Safety</t>
  </si>
  <si>
    <t>Detoxification/Disposal of Wastes</t>
  </si>
  <si>
    <t>Item1</t>
  </si>
  <si>
    <t>Item 2</t>
  </si>
  <si>
    <t>Item 3</t>
  </si>
  <si>
    <t>Item 4</t>
  </si>
  <si>
    <t>Item 5</t>
  </si>
  <si>
    <t>Item 6</t>
  </si>
  <si>
    <t>Facilities, Roads,and Other</t>
  </si>
  <si>
    <t>5e</t>
  </si>
  <si>
    <t>5f</t>
  </si>
  <si>
    <t>5g</t>
  </si>
  <si>
    <t>5h</t>
  </si>
  <si>
    <t>Total Operating Cost</t>
  </si>
  <si>
    <t>Total Capital Cost</t>
  </si>
  <si>
    <t>1a</t>
  </si>
  <si>
    <t>6f</t>
  </si>
  <si>
    <t xml:space="preserve">Contingency </t>
  </si>
  <si>
    <t xml:space="preserve">Agency Administration </t>
  </si>
  <si>
    <t>Cost Area</t>
  </si>
  <si>
    <t>Nominal Value</t>
  </si>
  <si>
    <t>Present Value</t>
  </si>
  <si>
    <t>Inflation =</t>
  </si>
  <si>
    <t>Discount =</t>
  </si>
  <si>
    <t>Water Treatment Plant O&amp;M</t>
  </si>
  <si>
    <t>General Site O&amp;M</t>
  </si>
  <si>
    <t>Long-Term O&amp;M</t>
  </si>
  <si>
    <t>Facilities, Roads and Other</t>
  </si>
  <si>
    <t>Total Operating Costs</t>
  </si>
  <si>
    <t>Total Capital Reclamation Cost</t>
  </si>
  <si>
    <t>Total Operating Reclamation Cost</t>
  </si>
  <si>
    <t>Tailings Area Reclamation</t>
  </si>
  <si>
    <t>Subtotal Tailings Area Reclamation</t>
  </si>
  <si>
    <t>1b</t>
  </si>
  <si>
    <t>1c</t>
  </si>
  <si>
    <t>Subtotal Facilities, Roads, and Other</t>
  </si>
  <si>
    <t>Tailings Area</t>
  </si>
  <si>
    <t xml:space="preserve">Inflation </t>
  </si>
  <si>
    <t>Detailed Reclamation and Closure Bond Cost Estimate - Capital Costs</t>
  </si>
  <si>
    <t>Detailed Reclamation and Closure Bond Cost Estimate - Operating Costs</t>
  </si>
  <si>
    <t>lot</t>
  </si>
  <si>
    <t>cy</t>
  </si>
  <si>
    <t>Injection Wells</t>
  </si>
  <si>
    <t>Underground Mine</t>
  </si>
  <si>
    <t>Subtotal Underground Mine Reclamation</t>
  </si>
  <si>
    <t>Plug Portals</t>
  </si>
  <si>
    <t>1d</t>
  </si>
  <si>
    <t>1e</t>
  </si>
  <si>
    <t>1f</t>
  </si>
  <si>
    <t>6g</t>
  </si>
  <si>
    <t>3% - allows for redesign of the existing reclamation plan to reflect current conditions in the event of bankruptcy</t>
  </si>
  <si>
    <t>15% - covers administrative, management, safety, legal, and other costs</t>
  </si>
  <si>
    <t>assess and change reclamation tasks and unit costs as noted, indirect costs from CSP2 scenario 1</t>
  </si>
  <si>
    <t>based on Scenario 1</t>
  </si>
  <si>
    <t>yr</t>
  </si>
  <si>
    <t>based on Scenario 2 with 50 years of water treatment</t>
  </si>
  <si>
    <t>based on Scenario 2 with 100 years of water treatment</t>
  </si>
  <si>
    <t>Kensington Gold Project</t>
  </si>
  <si>
    <t>2a3</t>
  </si>
  <si>
    <t>2a4</t>
  </si>
  <si>
    <t>2a5</t>
  </si>
  <si>
    <t>2a6</t>
  </si>
  <si>
    <t>2a7</t>
  </si>
  <si>
    <t>2a8</t>
  </si>
  <si>
    <t>2a9</t>
  </si>
  <si>
    <t>2a10</t>
  </si>
  <si>
    <t>2a11</t>
  </si>
  <si>
    <t>2a12</t>
  </si>
  <si>
    <t>2b1</t>
  </si>
  <si>
    <t>2b2</t>
  </si>
  <si>
    <t>2b3</t>
  </si>
  <si>
    <t>2b4</t>
  </si>
  <si>
    <t>2b5</t>
  </si>
  <si>
    <t>2b6</t>
  </si>
  <si>
    <t>2b7</t>
  </si>
  <si>
    <t>2b8</t>
  </si>
  <si>
    <t>2b9</t>
  </si>
  <si>
    <t>2b10</t>
  </si>
  <si>
    <t>2b11</t>
  </si>
  <si>
    <t>2b12</t>
  </si>
  <si>
    <t>Tailings Storage Facility (Lower Slate Lake)</t>
  </si>
  <si>
    <t>Tailings Storage Facility Subtotal</t>
  </si>
  <si>
    <t xml:space="preserve">Install additional stormwater controls </t>
  </si>
  <si>
    <t>Development Rock Site Reclamation</t>
  </si>
  <si>
    <t>Jualin Development Rock Bench</t>
  </si>
  <si>
    <t>Jualin Development Rock Bench Subtotal</t>
  </si>
  <si>
    <t>Kensington Development Rock Bench</t>
  </si>
  <si>
    <t>Kensington Development Rock Bench Subtotal</t>
  </si>
  <si>
    <t>Subtotal Development Rock Site Reclamation</t>
  </si>
  <si>
    <t>Access Roads</t>
  </si>
  <si>
    <t>Access Roads Subtotal</t>
  </si>
  <si>
    <t>Process Area</t>
  </si>
  <si>
    <t>Process Area Subtotal</t>
  </si>
  <si>
    <t>Marine Facilities (Slate Creek Cove)</t>
  </si>
  <si>
    <t>Marine Facilities (Slate Creek Cove) Subtotal</t>
  </si>
  <si>
    <t>Kensington Camp (Comet Beach)</t>
  </si>
  <si>
    <t>Kensington Camp (Comet Beach) Subtotal</t>
  </si>
  <si>
    <t>Borrow Areas</t>
  </si>
  <si>
    <t>Borrow Areas Subtotal</t>
  </si>
  <si>
    <t>Laydown Areas</t>
  </si>
  <si>
    <t>Laydown Areas Subtotal</t>
  </si>
  <si>
    <t>Tails Facility Areas (pipeline corridors, roads)</t>
  </si>
  <si>
    <t>Tails Facility Areas (pipeline corridors, roads) Subtotal</t>
  </si>
  <si>
    <t>Water Treatment Plant Area</t>
  </si>
  <si>
    <t>Water Treatment Plant Area Subtotal</t>
  </si>
  <si>
    <t>Administrative Area Buildings</t>
  </si>
  <si>
    <t>Administrative Area Buildings Subtotal</t>
  </si>
  <si>
    <t>Power/Telepohone Lines</t>
  </si>
  <si>
    <t>Power/Telephone Lines Subtotal</t>
  </si>
  <si>
    <t>Fuel Storage Tank</t>
  </si>
  <si>
    <t>Fuel Storage Tank Subtotal</t>
  </si>
  <si>
    <t>Infiltration Gallery</t>
  </si>
  <si>
    <t>Infiltration Gallery Subtotal</t>
  </si>
  <si>
    <t>Earth Retaining Bin Walls</t>
  </si>
  <si>
    <t>Earth Retaining Bin Walls Subtotal</t>
  </si>
  <si>
    <t>Install Spillway (fish movement)</t>
  </si>
  <si>
    <t>Enhance Riparian Habitat</t>
  </si>
  <si>
    <t>TSF Pump Back Sump and Discharge Pipeline</t>
  </si>
  <si>
    <t>Tails/ Reclaim Water Pipeline</t>
  </si>
  <si>
    <t>Decommision Reclaim Barge</t>
  </si>
  <si>
    <t>Diversion Dam and Pipeline</t>
  </si>
  <si>
    <t>1g1</t>
  </si>
  <si>
    <t>1g2</t>
  </si>
  <si>
    <t>1g3</t>
  </si>
  <si>
    <t>1g4</t>
  </si>
  <si>
    <t>1g5</t>
  </si>
  <si>
    <t>1g6</t>
  </si>
  <si>
    <t>1g7</t>
  </si>
  <si>
    <t>1g8</t>
  </si>
  <si>
    <t>1g9</t>
  </si>
  <si>
    <t>1g10</t>
  </si>
  <si>
    <t>1g11</t>
  </si>
  <si>
    <t>1g12</t>
  </si>
  <si>
    <t>1h</t>
  </si>
  <si>
    <t>1i</t>
  </si>
  <si>
    <t>4a1</t>
  </si>
  <si>
    <t>4a2</t>
  </si>
  <si>
    <t>4a3</t>
  </si>
  <si>
    <t>4a4</t>
  </si>
  <si>
    <t>4a5</t>
  </si>
  <si>
    <t>4a6</t>
  </si>
  <si>
    <t>4a7</t>
  </si>
  <si>
    <t>4a8</t>
  </si>
  <si>
    <t>4a9</t>
  </si>
  <si>
    <t>4a10</t>
  </si>
  <si>
    <t>4a11</t>
  </si>
  <si>
    <t>4a12</t>
  </si>
  <si>
    <t>4a13</t>
  </si>
  <si>
    <t>4b1</t>
  </si>
  <si>
    <t>4b2</t>
  </si>
  <si>
    <t>4b3</t>
  </si>
  <si>
    <t>4b4</t>
  </si>
  <si>
    <t>4b5</t>
  </si>
  <si>
    <t>4b6</t>
  </si>
  <si>
    <t>4b7</t>
  </si>
  <si>
    <t>4b8</t>
  </si>
  <si>
    <t>4b9</t>
  </si>
  <si>
    <t>4b10</t>
  </si>
  <si>
    <t>4b11</t>
  </si>
  <si>
    <t>4b12</t>
  </si>
  <si>
    <t>4b13</t>
  </si>
  <si>
    <t>4c4</t>
  </si>
  <si>
    <t>4c5</t>
  </si>
  <si>
    <t>4c6</t>
  </si>
  <si>
    <t>4c7</t>
  </si>
  <si>
    <t>4c8</t>
  </si>
  <si>
    <t>4c9</t>
  </si>
  <si>
    <t>4c10</t>
  </si>
  <si>
    <t>4c11</t>
  </si>
  <si>
    <t>4c12</t>
  </si>
  <si>
    <t>4c13</t>
  </si>
  <si>
    <t>4d</t>
  </si>
  <si>
    <t>4d1</t>
  </si>
  <si>
    <t>4d2</t>
  </si>
  <si>
    <t>4d3</t>
  </si>
  <si>
    <t>4d4</t>
  </si>
  <si>
    <t>4d5</t>
  </si>
  <si>
    <t>4d6</t>
  </si>
  <si>
    <t>4d7</t>
  </si>
  <si>
    <t>4d8</t>
  </si>
  <si>
    <t>4d9</t>
  </si>
  <si>
    <t>4d10</t>
  </si>
  <si>
    <t>4d11</t>
  </si>
  <si>
    <t>4d12</t>
  </si>
  <si>
    <t>4d13</t>
  </si>
  <si>
    <t>4e</t>
  </si>
  <si>
    <t>4e1</t>
  </si>
  <si>
    <t>4e2</t>
  </si>
  <si>
    <t>4e3</t>
  </si>
  <si>
    <t>4e4</t>
  </si>
  <si>
    <t>4e5</t>
  </si>
  <si>
    <t>4e6</t>
  </si>
  <si>
    <t>4e7</t>
  </si>
  <si>
    <t>4e8</t>
  </si>
  <si>
    <t>4e9</t>
  </si>
  <si>
    <t>4e10</t>
  </si>
  <si>
    <t>4e11</t>
  </si>
  <si>
    <t>4e12</t>
  </si>
  <si>
    <t>4e13</t>
  </si>
  <si>
    <t>4f</t>
  </si>
  <si>
    <t>4f1</t>
  </si>
  <si>
    <t>4f2</t>
  </si>
  <si>
    <t>4f3</t>
  </si>
  <si>
    <t>4f4</t>
  </si>
  <si>
    <t>4f5</t>
  </si>
  <si>
    <t>4f6</t>
  </si>
  <si>
    <t>4f7</t>
  </si>
  <si>
    <t>4f8</t>
  </si>
  <si>
    <t>4f9</t>
  </si>
  <si>
    <t>4f10</t>
  </si>
  <si>
    <t>4f11</t>
  </si>
  <si>
    <t>4f12</t>
  </si>
  <si>
    <t>4f13</t>
  </si>
  <si>
    <t>4g</t>
  </si>
  <si>
    <t>4g1</t>
  </si>
  <si>
    <t>4g2</t>
  </si>
  <si>
    <t>4g3</t>
  </si>
  <si>
    <t>4g4</t>
  </si>
  <si>
    <t>4g5</t>
  </si>
  <si>
    <t>4g6</t>
  </si>
  <si>
    <t>4g7</t>
  </si>
  <si>
    <t>4g8</t>
  </si>
  <si>
    <t>4g9</t>
  </si>
  <si>
    <t>4g10</t>
  </si>
  <si>
    <t>4g11</t>
  </si>
  <si>
    <t>4g12</t>
  </si>
  <si>
    <t>4g13</t>
  </si>
  <si>
    <t>4h</t>
  </si>
  <si>
    <t>4h1</t>
  </si>
  <si>
    <t>4h2</t>
  </si>
  <si>
    <t>4h3</t>
  </si>
  <si>
    <t>4h4</t>
  </si>
  <si>
    <t>4h5</t>
  </si>
  <si>
    <t>4h6</t>
  </si>
  <si>
    <t>4h7</t>
  </si>
  <si>
    <t>4h8</t>
  </si>
  <si>
    <t>4h9</t>
  </si>
  <si>
    <t>4h10</t>
  </si>
  <si>
    <t>4h11</t>
  </si>
  <si>
    <t>4h12</t>
  </si>
  <si>
    <t>4h13</t>
  </si>
  <si>
    <t>4i</t>
  </si>
  <si>
    <t>4i1</t>
  </si>
  <si>
    <t>4i2</t>
  </si>
  <si>
    <t>4i3</t>
  </si>
  <si>
    <t>4i4</t>
  </si>
  <si>
    <t>4i5</t>
  </si>
  <si>
    <t>4i6</t>
  </si>
  <si>
    <t>4i7</t>
  </si>
  <si>
    <t>4i8</t>
  </si>
  <si>
    <t>4i9</t>
  </si>
  <si>
    <t>4i10</t>
  </si>
  <si>
    <t>4i11</t>
  </si>
  <si>
    <t>4i12</t>
  </si>
  <si>
    <t>4i13</t>
  </si>
  <si>
    <t>4j</t>
  </si>
  <si>
    <t>4j1</t>
  </si>
  <si>
    <t>4j2</t>
  </si>
  <si>
    <t>4j3</t>
  </si>
  <si>
    <t>4j4</t>
  </si>
  <si>
    <t>4j5</t>
  </si>
  <si>
    <t>4j6</t>
  </si>
  <si>
    <t>4j7</t>
  </si>
  <si>
    <t>4j8</t>
  </si>
  <si>
    <t>4j9</t>
  </si>
  <si>
    <t>4j10</t>
  </si>
  <si>
    <t>4j11</t>
  </si>
  <si>
    <t>4j12</t>
  </si>
  <si>
    <t>4j13</t>
  </si>
  <si>
    <t>4k</t>
  </si>
  <si>
    <t>4k1</t>
  </si>
  <si>
    <t>4k2</t>
  </si>
  <si>
    <t>4k3</t>
  </si>
  <si>
    <t>4k4</t>
  </si>
  <si>
    <t>4k5</t>
  </si>
  <si>
    <t>4k6</t>
  </si>
  <si>
    <t>4k7</t>
  </si>
  <si>
    <t>4k8</t>
  </si>
  <si>
    <t>4k9</t>
  </si>
  <si>
    <t>4k10</t>
  </si>
  <si>
    <t>4k11</t>
  </si>
  <si>
    <t>4k12</t>
  </si>
  <si>
    <t>4k13</t>
  </si>
  <si>
    <t>4l</t>
  </si>
  <si>
    <t>4l1</t>
  </si>
  <si>
    <t>4l2</t>
  </si>
  <si>
    <t>4l3</t>
  </si>
  <si>
    <t>4l4</t>
  </si>
  <si>
    <t>4l5</t>
  </si>
  <si>
    <t>4l6</t>
  </si>
  <si>
    <t>4l7</t>
  </si>
  <si>
    <t>4l8</t>
  </si>
  <si>
    <t>4l9</t>
  </si>
  <si>
    <t>4l10</t>
  </si>
  <si>
    <t>4l11</t>
  </si>
  <si>
    <t>4l12</t>
  </si>
  <si>
    <t>4l13</t>
  </si>
  <si>
    <t>4m</t>
  </si>
  <si>
    <t>4m1</t>
  </si>
  <si>
    <t>4m2</t>
  </si>
  <si>
    <t>4m3</t>
  </si>
  <si>
    <t>4m4</t>
  </si>
  <si>
    <t>4m5</t>
  </si>
  <si>
    <t>4m6</t>
  </si>
  <si>
    <t>4m7</t>
  </si>
  <si>
    <t>4m8</t>
  </si>
  <si>
    <t>4m9</t>
  </si>
  <si>
    <t>4m10</t>
  </si>
  <si>
    <t>4m11</t>
  </si>
  <si>
    <t>4m12</t>
  </si>
  <si>
    <t>4m13</t>
  </si>
  <si>
    <t>Total Tasks 1 thru 6</t>
  </si>
  <si>
    <t>7a</t>
  </si>
  <si>
    <t>7b</t>
  </si>
  <si>
    <t>7c</t>
  </si>
  <si>
    <t>7d</t>
  </si>
  <si>
    <t>7e</t>
  </si>
  <si>
    <t>7f</t>
  </si>
  <si>
    <t>7g</t>
  </si>
  <si>
    <t>7h</t>
  </si>
  <si>
    <t>SUMMARY - Kensington Gold Project Reclamation Plan</t>
  </si>
  <si>
    <t>Kensington Gold Project Reclamation Plan June 2004</t>
  </si>
  <si>
    <t>from Appendix A, Section 2.1</t>
  </si>
  <si>
    <t>from Appendix A, Section 2.2</t>
  </si>
  <si>
    <t>from Appendix A, Section 2.3</t>
  </si>
  <si>
    <t>from Appendix A, Section 2.4</t>
  </si>
  <si>
    <t>from Appendix A, Section 2.5</t>
  </si>
  <si>
    <t>from Appendix A, Section 4.3</t>
  </si>
  <si>
    <t>from Appendix A, Section 5.3</t>
  </si>
  <si>
    <t>from Appendix A, Section 6.3</t>
  </si>
  <si>
    <t>Assume slope is flat, information not provided</t>
  </si>
  <si>
    <t>from Appendix A, Section 7.3</t>
  </si>
  <si>
    <t>from Appendix A, Section 5.4</t>
  </si>
  <si>
    <t>from Appendix A, Section 4.4</t>
  </si>
  <si>
    <t>from Appendix A, Section 6.4</t>
  </si>
  <si>
    <t>from Appendix A, Section 7.4</t>
  </si>
  <si>
    <t>from Appendix A, Section 1.9</t>
  </si>
  <si>
    <t>from Appendix A, Section 1.8</t>
  </si>
  <si>
    <t>from Appendix A, Section 4.1</t>
  </si>
  <si>
    <t>from Appendix A, Section 6.1</t>
  </si>
  <si>
    <t>from Appendix A, Section 7.1</t>
  </si>
  <si>
    <t>from Appendix A, Section 5.1 plus Section 3.1 plus Section 3.2</t>
  </si>
  <si>
    <t>from Appendix A, Section 5.2</t>
  </si>
  <si>
    <t>from Appendix A, Section 4.2</t>
  </si>
  <si>
    <t>from Appendix A, Section 6.2</t>
  </si>
  <si>
    <t>from Appendix A, Section 7.2</t>
  </si>
  <si>
    <t>from Appendix A, Section 1.1</t>
  </si>
  <si>
    <t>from Appendix A, Section 5.5</t>
  </si>
  <si>
    <t>from Appendix A, Section 4.5</t>
  </si>
  <si>
    <t>from Appendix A, Section 6.5</t>
  </si>
  <si>
    <t>from Appendix A, Section 7.5</t>
  </si>
  <si>
    <t>from Appendix A, Section 1.2</t>
  </si>
  <si>
    <t>from Appendix A, Section 5.6</t>
  </si>
  <si>
    <t>from Appendix A, Section 4.6</t>
  </si>
  <si>
    <t>from Appendix A, Section 6.6</t>
  </si>
  <si>
    <t>from Appendix A, Section 7.6</t>
  </si>
  <si>
    <t>Power/Telephone Lines</t>
  </si>
  <si>
    <t>from Appendix A, Section 1.5 plus Section 1.7</t>
  </si>
  <si>
    <t>from Appendix A, Section 5.7</t>
  </si>
  <si>
    <t>from Appendix A, Section 4.7</t>
  </si>
  <si>
    <t>from Appendix A, Section 6.7</t>
  </si>
  <si>
    <t>from Appendix A, Section 7.7</t>
  </si>
  <si>
    <t>from Appendix A, Section 1.3 plus Section 1.6</t>
  </si>
  <si>
    <t>from Appendix A, Section 5.8</t>
  </si>
  <si>
    <t>from Appendix A, Section 4.8</t>
  </si>
  <si>
    <t>from Appendix A, Section 6.8</t>
  </si>
  <si>
    <t>from Appendix A, Section 7.8</t>
  </si>
  <si>
    <t>from Appendix A, Section 5.9</t>
  </si>
  <si>
    <t>from Appendix A, Section 4.9</t>
  </si>
  <si>
    <t>from Appendix A, Section 6.9</t>
  </si>
  <si>
    <t>from Appendix A, Section 7.9</t>
  </si>
  <si>
    <t>from Appendix A, Section 5.10</t>
  </si>
  <si>
    <t>from Appendix A, Section 4.10</t>
  </si>
  <si>
    <t>from Appendix A, Section 6.10</t>
  </si>
  <si>
    <t>from Appendix A, Section 7.10</t>
  </si>
  <si>
    <t>from Appendix A, Section 1.4</t>
  </si>
  <si>
    <t>from Appendix A, Section 1.10</t>
  </si>
  <si>
    <t>from Appendix A, Section 1.11</t>
  </si>
  <si>
    <t>from Appendix A, Section 1.12</t>
  </si>
  <si>
    <t>from Appendix A, Section 3.3</t>
  </si>
  <si>
    <t>from Appendix A, Section 1.13</t>
  </si>
  <si>
    <t>Water treatment plant (Subsurface flow wetland)</t>
  </si>
  <si>
    <t>Water treatment plant (Subsurface Flow Wetland)</t>
  </si>
  <si>
    <t>from Appendix A, Section 8.5</t>
  </si>
  <si>
    <t>from Appendix A, Section 9.4</t>
  </si>
  <si>
    <t>from Appendix A, Section 8.1</t>
  </si>
  <si>
    <t>from Appendix A, Section 9.2</t>
  </si>
  <si>
    <t>from Appendix A, Section 9.1 plus Section 9.3</t>
  </si>
  <si>
    <t>from Appendix A, Section 8.3, monitor for 15 years</t>
  </si>
  <si>
    <t>from Appendix A, Section 8.2 plus Section 8.4, monitor water and veg. for 5 years, monitor hydrocarbons for 1 year</t>
  </si>
  <si>
    <t>SUMMARY - Kensington Gold Project - Operating Costs (Indirect Costs Included)</t>
  </si>
  <si>
    <t>KENSINGTON GOLD PROJECT RECLAMATION PLAN 2004</t>
  </si>
  <si>
    <t>Development Rock Sites</t>
  </si>
  <si>
    <t>20 years</t>
  </si>
  <si>
    <r>
      <t>CSP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2004 Estimate - Scenario 1</t>
    </r>
  </si>
  <si>
    <t>based on Kensington Gold reclamation plan with changes to indirect costs as noted below</t>
  </si>
  <si>
    <t>5% - accounts for construction engineering and management on behalf of agency conducting reclamation</t>
  </si>
  <si>
    <t>3% - based on average inflation rate</t>
  </si>
  <si>
    <t>10% - level of detail in estimate minimal at this point</t>
  </si>
  <si>
    <t>10% - contractor profit</t>
  </si>
  <si>
    <t>CSP2 2004 Estimate - Scenario 4</t>
  </si>
  <si>
    <r>
      <t>CSP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2004 Estimate - Scenario 2</t>
    </r>
  </si>
  <si>
    <t>10% - allows for transport of materials to and from site</t>
  </si>
  <si>
    <t>increase unit cost to $1,500/acre based on average cost estimated at True North ($2044/ac) and Ft Knox ($1550/ac)</t>
  </si>
  <si>
    <t>unit cost of $1500/ac based on MDEQ estimation for flat surfaces</t>
  </si>
  <si>
    <t>assumes costs are for removal of equipment and building demolition</t>
  </si>
  <si>
    <t>costs to plug portals based on Pogo Reclamation plan at $85,000/portal</t>
  </si>
  <si>
    <t>assume detoxification costs are part of demolition line items above</t>
  </si>
  <si>
    <t>Assume sludge/brine  disposal cost of $10,000/yr for 7 years</t>
  </si>
  <si>
    <t>based on captial cost of $2,661,000 from Coeur Alaska, Inc. 5 August 2004 (Table 4)</t>
  </si>
  <si>
    <t>Assume active treatment using RO needed for 7 years after closure.  Annual operating cost of $270,000/yr from Coeur Alaska, Inc. 5 August 2004 (pg 11)</t>
  </si>
  <si>
    <t>CSP2 2004 Estimate - Scenario 3</t>
  </si>
  <si>
    <t>Assume sludge/brine  disposal cost of $10,000/yr for 50 years</t>
  </si>
  <si>
    <t>Assume sludge/brine  disposal cost of $10,000/yr for 100 years</t>
  </si>
  <si>
    <r>
      <t>CSP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2004 Estimate - Scenario 3</t>
    </r>
  </si>
  <si>
    <r>
      <t>CSP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2004 Estimate - Scenario 4</t>
    </r>
  </si>
  <si>
    <t>Assumes 22 years of reclamation monitoring (annually for 5 years, then every 5 years for 17 years) at $100,000 per year plus 1 year of hydrocarbon monitoring at $44,500</t>
  </si>
  <si>
    <t>Assumes 22 years of surface and groundwater monitoring (7 years during water treatment phase, 15 years after water treatment), quarterly for WQ parameters, annually for WET testing</t>
  </si>
  <si>
    <t>Assumes 65 years of surface and groundwater monitoring (50 years during water treatment phase, 15 years after water treatment), quarterly for WQ parameters, annually for WET testing</t>
  </si>
  <si>
    <t>Assumes 65 years of reclamation monitoring (annually for 5 years, then every 5 years for 60 years) at $100,000 per year plus 1 year of hydrocarbon monitoring at $44,500</t>
  </si>
  <si>
    <t>Assumes 115 years of surface and groundwater monitoring (100 years during water treatment phase, 15 years after water treatment), quarterly for WQ parameters, annually for WET testing</t>
  </si>
  <si>
    <t>Assumes 115 years of reclamation monitoring (annually for 5 years, then every 5 years for 110 years) at $100,000 per year plus 1 year of hydrocarbon monitoring at $44,500</t>
  </si>
  <si>
    <t>Assumes a cost of $10,000 per year for reclamation maintenance for 115 years (annually for the 1st 5 years, then every 5 years)</t>
  </si>
  <si>
    <t>Assumes a cost of $10,000 per year for reclamation maintenance for 65 years (annually for the 1st 5 years, then every 5 years)</t>
  </si>
  <si>
    <t>Assumes a cost of $10,000 per year for reclamation maintenance for 22 years (annually for the 1st 5 years, then every 5 years)</t>
  </si>
  <si>
    <t>22 years</t>
  </si>
  <si>
    <t>65 years</t>
  </si>
  <si>
    <t>PROJECT CASH FLOW - SCENARIO 1</t>
  </si>
  <si>
    <t>PROJECT CASH FLOW - SCENARIO 2</t>
  </si>
  <si>
    <t>PROJECT CASH FLOW - SCENARIO 3</t>
  </si>
  <si>
    <t>PROJECT CASH FLOW - SCENARIO 4</t>
  </si>
  <si>
    <t>115 years</t>
  </si>
  <si>
    <t>PROJECT CASH FLOW - SCENARIO 0</t>
  </si>
  <si>
    <r>
      <t>based on CSP2 water treatment unit cost of $10.50 per 1000 gals treated, 3.1 x 10</t>
    </r>
    <r>
      <rPr>
        <vertAlign val="superscript"/>
        <sz val="9"/>
        <rFont val="Arial"/>
        <family val="2"/>
      </rPr>
      <t>9</t>
    </r>
    <r>
      <rPr>
        <sz val="9"/>
        <rFont val="Arial"/>
        <family val="2"/>
      </rPr>
      <t xml:space="preserve"> gals treated over 50 years, $32,550,000</t>
    </r>
  </si>
  <si>
    <r>
      <t>based on CSP2 water treatment unit cost of $10.50 per 1000 gals treated, 6.2 x 10</t>
    </r>
    <r>
      <rPr>
        <vertAlign val="superscript"/>
        <sz val="9"/>
        <rFont val="Arial"/>
        <family val="2"/>
      </rPr>
      <t>9</t>
    </r>
    <r>
      <rPr>
        <sz val="9"/>
        <rFont val="Arial"/>
        <family val="2"/>
      </rPr>
      <t xml:space="preserve"> gals treated over 100 years, $65,100,000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</si>
</sst>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\-mmm\-yy"/>
    <numFmt numFmtId="169" formatCode="&quot;$&quot;#,##0"/>
    <numFmt numFmtId="170" formatCode="&quot;$&quot;#,##0.00"/>
    <numFmt numFmtId="171" formatCode="0.0%"/>
    <numFmt numFmtId="172" formatCode="0.000"/>
    <numFmt numFmtId="173" formatCode="0.0000"/>
    <numFmt numFmtId="174" formatCode="0.0"/>
    <numFmt numFmtId="175" formatCode="&quot;$&quot;#,##0.0_);[Red]\(&quot;$&quot;#,##0.0\)"/>
    <numFmt numFmtId="176" formatCode="&quot;$&quot;#,##0.0"/>
    <numFmt numFmtId="177" formatCode="&quot;$&quot;#,##0.000"/>
    <numFmt numFmtId="178" formatCode="&quot;$&quot;#,##0.0000"/>
    <numFmt numFmtId="179" formatCode="&quot;$&quot;#,##0;[Red]&quot;$&quot;#,##0"/>
    <numFmt numFmtId="180" formatCode="&quot;$&quot;#,##0.000_);[Red]\(&quot;$&quot;#,##0.000\)"/>
    <numFmt numFmtId="181" formatCode="&quot;$&quot;#,##0.0000_);[Red]\(&quot;$&quot;#,##0.0000\)"/>
    <numFmt numFmtId="182" formatCode="_(&quot;$&quot;* #,##0.0000_);_(&quot;$&quot;* \(#,##0.0000\);_(&quot;$&quot;* &quot;-&quot;????_);_(@_)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  <numFmt numFmtId="185" formatCode="#,##0.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9"/>
      <name val="Braggadocio"/>
      <family val="5"/>
    </font>
    <font>
      <b/>
      <sz val="9"/>
      <name val="Arial"/>
      <family val="2"/>
    </font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b/>
      <vertAlign val="superscript"/>
      <sz val="9"/>
      <name val="Arial"/>
      <family val="2"/>
    </font>
    <font>
      <sz val="9"/>
      <color indexed="53"/>
      <name val="Arial"/>
      <family val="2"/>
    </font>
    <font>
      <b/>
      <u val="single"/>
      <sz val="9"/>
      <name val="Arial"/>
      <family val="2"/>
    </font>
    <font>
      <b/>
      <sz val="9"/>
      <color indexed="8"/>
      <name val="Arial"/>
      <family val="2"/>
    </font>
    <font>
      <sz val="9"/>
      <name val="Times New Roman"/>
      <family val="0"/>
    </font>
    <font>
      <sz val="9"/>
      <color indexed="10"/>
      <name val="Arial"/>
      <family val="2"/>
    </font>
    <font>
      <b/>
      <u val="single"/>
      <sz val="9"/>
      <color indexed="10"/>
      <name val="Arial"/>
      <family val="2"/>
    </font>
    <font>
      <b/>
      <sz val="9"/>
      <color indexed="10"/>
      <name val="Arial"/>
      <family val="2"/>
    </font>
    <font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1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 style="thick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ck"/>
      <top style="double"/>
      <bottom style="double"/>
    </border>
    <border>
      <left style="medium"/>
      <right style="medium"/>
      <top style="thin"/>
      <bottom>
        <color indexed="63"/>
      </bottom>
    </border>
    <border>
      <left style="thick"/>
      <right style="thin"/>
      <top style="thin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double"/>
      <bottom style="thin"/>
    </border>
    <border>
      <left style="thick"/>
      <right>
        <color indexed="63"/>
      </right>
      <top style="double"/>
      <bottom style="double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ck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ck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double"/>
    </border>
    <border>
      <left style="thin"/>
      <right style="thick"/>
      <top style="thin"/>
      <bottom style="double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ck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5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8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6" fontId="3" fillId="0" borderId="0" xfId="0" applyNumberFormat="1" applyFont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6" fontId="3" fillId="0" borderId="0" xfId="0" applyNumberFormat="1" applyFont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8" fontId="3" fillId="0" borderId="0" xfId="0" applyNumberFormat="1" applyFont="1" applyAlignment="1">
      <alignment/>
    </xf>
    <xf numFmtId="169" fontId="3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69" fontId="3" fillId="0" borderId="12" xfId="0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169" fontId="3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6" fontId="3" fillId="0" borderId="14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6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9" fontId="3" fillId="0" borderId="0" xfId="0" applyNumberFormat="1" applyFont="1" applyFill="1" applyBorder="1" applyAlignment="1">
      <alignment/>
    </xf>
    <xf numFmtId="0" fontId="6" fillId="0" borderId="15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6" fillId="0" borderId="5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6" fillId="0" borderId="17" xfId="0" applyFont="1" applyBorder="1" applyAlignment="1">
      <alignment/>
    </xf>
    <xf numFmtId="169" fontId="3" fillId="0" borderId="18" xfId="0" applyNumberFormat="1" applyFont="1" applyBorder="1" applyAlignment="1">
      <alignment/>
    </xf>
    <xf numFmtId="169" fontId="3" fillId="0" borderId="13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19" xfId="0" applyFont="1" applyBorder="1" applyAlignment="1">
      <alignment/>
    </xf>
    <xf numFmtId="9" fontId="3" fillId="0" borderId="0" xfId="0" applyNumberFormat="1" applyFont="1" applyBorder="1" applyAlignment="1">
      <alignment/>
    </xf>
    <xf numFmtId="0" fontId="3" fillId="0" borderId="0" xfId="0" applyFont="1" applyFill="1" applyAlignment="1">
      <alignment horizontal="left"/>
    </xf>
    <xf numFmtId="0" fontId="5" fillId="0" borderId="0" xfId="0" applyFont="1" applyBorder="1" applyAlignment="1">
      <alignment horizontal="right"/>
    </xf>
    <xf numFmtId="168" fontId="3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6" fontId="3" fillId="0" borderId="4" xfId="0" applyNumberFormat="1" applyFont="1" applyBorder="1" applyAlignment="1">
      <alignment/>
    </xf>
    <xf numFmtId="0" fontId="3" fillId="0" borderId="20" xfId="0" applyFont="1" applyBorder="1" applyAlignment="1">
      <alignment/>
    </xf>
    <xf numFmtId="6" fontId="3" fillId="0" borderId="21" xfId="0" applyNumberFormat="1" applyFont="1" applyBorder="1" applyAlignment="1">
      <alignment/>
    </xf>
    <xf numFmtId="6" fontId="3" fillId="0" borderId="21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6" fontId="6" fillId="0" borderId="23" xfId="0" applyNumberFormat="1" applyFont="1" applyBorder="1" applyAlignment="1">
      <alignment/>
    </xf>
    <xf numFmtId="9" fontId="3" fillId="0" borderId="7" xfId="23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8" fontId="3" fillId="0" borderId="5" xfId="0" applyNumberFormat="1" applyFont="1" applyBorder="1" applyAlignment="1">
      <alignment/>
    </xf>
    <xf numFmtId="169" fontId="3" fillId="0" borderId="5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169" fontId="3" fillId="0" borderId="9" xfId="0" applyNumberFormat="1" applyFont="1" applyBorder="1" applyAlignment="1">
      <alignment/>
    </xf>
    <xf numFmtId="0" fontId="3" fillId="0" borderId="7" xfId="0" applyFont="1" applyBorder="1" applyAlignment="1">
      <alignment/>
    </xf>
    <xf numFmtId="169" fontId="3" fillId="0" borderId="4" xfId="0" applyNumberFormat="1" applyFont="1" applyBorder="1" applyAlignment="1">
      <alignment/>
    </xf>
    <xf numFmtId="6" fontId="3" fillId="0" borderId="5" xfId="0" applyNumberFormat="1" applyFont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69" fontId="3" fillId="0" borderId="12" xfId="0" applyNumberFormat="1" applyFont="1" applyFill="1" applyBorder="1" applyAlignment="1">
      <alignment/>
    </xf>
    <xf numFmtId="6" fontId="3" fillId="0" borderId="5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49" fontId="3" fillId="0" borderId="5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169" fontId="3" fillId="0" borderId="7" xfId="0" applyNumberFormat="1" applyFont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70" fontId="3" fillId="0" borderId="5" xfId="0" applyNumberFormat="1" applyFont="1" applyBorder="1" applyAlignment="1">
      <alignment/>
    </xf>
    <xf numFmtId="49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3" fillId="0" borderId="4" xfId="0" applyFont="1" applyBorder="1" applyAlignment="1">
      <alignment/>
    </xf>
    <xf numFmtId="9" fontId="3" fillId="0" borderId="0" xfId="0" applyNumberFormat="1" applyFont="1" applyAlignment="1">
      <alignment/>
    </xf>
    <xf numFmtId="0" fontId="3" fillId="0" borderId="8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3" fontId="3" fillId="0" borderId="0" xfId="0" applyNumberFormat="1" applyFont="1" applyBorder="1" applyAlignment="1">
      <alignment/>
    </xf>
    <xf numFmtId="8" fontId="3" fillId="0" borderId="0" xfId="0" applyNumberFormat="1" applyFont="1" applyBorder="1" applyAlignment="1">
      <alignment/>
    </xf>
    <xf numFmtId="6" fontId="3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3" fillId="0" borderId="12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0" fontId="6" fillId="0" borderId="25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26" xfId="0" applyFont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6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21" xfId="0" applyFont="1" applyFill="1" applyBorder="1" applyAlignment="1">
      <alignment/>
    </xf>
    <xf numFmtId="0" fontId="3" fillId="0" borderId="21" xfId="0" applyFont="1" applyFill="1" applyBorder="1" applyAlignment="1">
      <alignment wrapText="1"/>
    </xf>
    <xf numFmtId="0" fontId="3" fillId="0" borderId="27" xfId="0" applyFont="1" applyBorder="1" applyAlignment="1">
      <alignment/>
    </xf>
    <xf numFmtId="0" fontId="6" fillId="0" borderId="21" xfId="0" applyFont="1" applyBorder="1" applyAlignment="1">
      <alignment/>
    </xf>
    <xf numFmtId="0" fontId="3" fillId="0" borderId="27" xfId="0" applyFont="1" applyBorder="1" applyAlignment="1">
      <alignment/>
    </xf>
    <xf numFmtId="169" fontId="3" fillId="0" borderId="28" xfId="0" applyNumberFormat="1" applyFont="1" applyBorder="1" applyAlignment="1">
      <alignment/>
    </xf>
    <xf numFmtId="0" fontId="3" fillId="0" borderId="0" xfId="0" applyFont="1" applyBorder="1" applyAlignment="1">
      <alignment/>
    </xf>
    <xf numFmtId="169" fontId="3" fillId="0" borderId="21" xfId="0" applyNumberFormat="1" applyFont="1" applyFill="1" applyBorder="1" applyAlignment="1">
      <alignment wrapText="1"/>
    </xf>
    <xf numFmtId="0" fontId="6" fillId="0" borderId="29" xfId="0" applyFont="1" applyBorder="1" applyAlignment="1">
      <alignment/>
    </xf>
    <xf numFmtId="0" fontId="3" fillId="0" borderId="6" xfId="0" applyFont="1" applyFill="1" applyBorder="1" applyAlignment="1">
      <alignment/>
    </xf>
    <xf numFmtId="9" fontId="3" fillId="0" borderId="6" xfId="0" applyNumberFormat="1" applyFont="1" applyBorder="1" applyAlignment="1">
      <alignment/>
    </xf>
    <xf numFmtId="169" fontId="3" fillId="0" borderId="26" xfId="0" applyNumberFormat="1" applyFont="1" applyBorder="1" applyAlignment="1">
      <alignment/>
    </xf>
    <xf numFmtId="169" fontId="3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0" fontId="11" fillId="0" borderId="0" xfId="0" applyFont="1" applyFill="1" applyAlignment="1">
      <alignment/>
    </xf>
    <xf numFmtId="0" fontId="3" fillId="0" borderId="7" xfId="0" applyFont="1" applyFill="1" applyBorder="1" applyAlignment="1">
      <alignment/>
    </xf>
    <xf numFmtId="169" fontId="3" fillId="0" borderId="21" xfId="0" applyNumberFormat="1" applyFont="1" applyFill="1" applyBorder="1" applyAlignment="1">
      <alignment/>
    </xf>
    <xf numFmtId="9" fontId="3" fillId="0" borderId="0" xfId="0" applyNumberFormat="1" applyFont="1" applyFill="1" applyAlignment="1">
      <alignment/>
    </xf>
    <xf numFmtId="169" fontId="3" fillId="0" borderId="5" xfId="0" applyNumberFormat="1" applyFont="1" applyFill="1" applyBorder="1" applyAlignment="1">
      <alignment/>
    </xf>
    <xf numFmtId="169" fontId="3" fillId="0" borderId="14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8" fontId="3" fillId="0" borderId="5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6" fontId="3" fillId="0" borderId="30" xfId="0" applyNumberFormat="1" applyFont="1" applyFill="1" applyBorder="1" applyAlignment="1">
      <alignment/>
    </xf>
    <xf numFmtId="0" fontId="6" fillId="0" borderId="0" xfId="22" applyFont="1" applyFill="1">
      <alignment/>
      <protection/>
    </xf>
    <xf numFmtId="0" fontId="12" fillId="0" borderId="0" xfId="22" applyFont="1" applyFill="1" applyAlignment="1">
      <alignment horizontal="centerContinuous"/>
      <protection/>
    </xf>
    <xf numFmtId="0" fontId="13" fillId="0" borderId="0" xfId="22" applyFont="1" applyFill="1" applyAlignment="1">
      <alignment horizontal="centerContinuous"/>
      <protection/>
    </xf>
    <xf numFmtId="0" fontId="13" fillId="0" borderId="0" xfId="22" applyFont="1" applyFill="1">
      <alignment/>
      <protection/>
    </xf>
    <xf numFmtId="0" fontId="13" fillId="0" borderId="31" xfId="22" applyFont="1" applyFill="1" applyBorder="1" applyAlignment="1">
      <alignment horizontal="center" vertical="center" wrapText="1"/>
      <protection/>
    </xf>
    <xf numFmtId="0" fontId="13" fillId="0" borderId="1" xfId="22" applyFont="1" applyFill="1" applyBorder="1" applyAlignment="1">
      <alignment horizontal="center" vertical="center" wrapText="1"/>
      <protection/>
    </xf>
    <xf numFmtId="0" fontId="13" fillId="0" borderId="32" xfId="22" applyFont="1" applyFill="1" applyBorder="1" applyAlignment="1">
      <alignment horizontal="center" vertical="center" wrapText="1"/>
      <protection/>
    </xf>
    <xf numFmtId="0" fontId="13" fillId="0" borderId="5" xfId="22" applyFont="1" applyFill="1" applyBorder="1" applyAlignment="1">
      <alignment horizontal="center" vertical="center" wrapText="1"/>
      <protection/>
    </xf>
    <xf numFmtId="0" fontId="10" fillId="0" borderId="0" xfId="22" applyFont="1" applyFill="1">
      <alignment/>
      <protection/>
    </xf>
    <xf numFmtId="169" fontId="10" fillId="0" borderId="0" xfId="22" applyNumberFormat="1" applyFont="1" applyFill="1">
      <alignment/>
      <protection/>
    </xf>
    <xf numFmtId="6" fontId="10" fillId="0" borderId="0" xfId="22" applyNumberFormat="1" applyFont="1" applyFill="1">
      <alignment/>
      <protection/>
    </xf>
    <xf numFmtId="6" fontId="13" fillId="0" borderId="0" xfId="22" applyNumberFormat="1" applyFont="1" applyFill="1">
      <alignment/>
      <protection/>
    </xf>
    <xf numFmtId="182" fontId="13" fillId="0" borderId="0" xfId="22" applyNumberFormat="1" applyFont="1" applyFill="1">
      <alignment/>
      <protection/>
    </xf>
    <xf numFmtId="3" fontId="13" fillId="0" borderId="0" xfId="22" applyNumberFormat="1" applyFont="1" applyFill="1">
      <alignment/>
      <protection/>
    </xf>
    <xf numFmtId="0" fontId="13" fillId="0" borderId="1" xfId="22" applyFont="1" applyFill="1" applyBorder="1" applyAlignment="1">
      <alignment horizontal="center" wrapText="1"/>
      <protection/>
    </xf>
    <xf numFmtId="0" fontId="13" fillId="0" borderId="33" xfId="22" applyFont="1" applyFill="1" applyBorder="1" applyAlignment="1">
      <alignment horizontal="center" wrapText="1"/>
      <protection/>
    </xf>
    <xf numFmtId="0" fontId="13" fillId="0" borderId="2" xfId="22" applyFont="1" applyFill="1" applyBorder="1" applyAlignment="1">
      <alignment horizontal="center" wrapText="1"/>
      <protection/>
    </xf>
    <xf numFmtId="171" fontId="13" fillId="0" borderId="32" xfId="22" applyNumberFormat="1" applyFont="1" applyFill="1" applyBorder="1" applyAlignment="1">
      <alignment horizontal="center" vertical="center" wrapText="1"/>
      <protection/>
    </xf>
    <xf numFmtId="171" fontId="13" fillId="0" borderId="5" xfId="22" applyNumberFormat="1" applyFont="1" applyFill="1" applyBorder="1" applyAlignment="1">
      <alignment horizontal="center" vertical="center" wrapText="1"/>
      <protection/>
    </xf>
    <xf numFmtId="0" fontId="13" fillId="0" borderId="3" xfId="22" applyFont="1" applyFill="1" applyBorder="1">
      <alignment/>
      <protection/>
    </xf>
    <xf numFmtId="6" fontId="3" fillId="0" borderId="34" xfId="22" applyNumberFormat="1" applyFont="1" applyFill="1" applyBorder="1" applyAlignment="1">
      <alignment horizontal="right"/>
      <protection/>
    </xf>
    <xf numFmtId="0" fontId="13" fillId="0" borderId="35" xfId="22" applyFont="1" applyFill="1" applyBorder="1" applyAlignment="1">
      <alignment horizontal="center"/>
      <protection/>
    </xf>
    <xf numFmtId="6" fontId="3" fillId="0" borderId="35" xfId="22" applyNumberFormat="1" applyFont="1" applyFill="1" applyBorder="1" applyAlignment="1">
      <alignment horizontal="right"/>
      <protection/>
    </xf>
    <xf numFmtId="6" fontId="3" fillId="0" borderId="35" xfId="22" applyNumberFormat="1" applyFont="1" applyFill="1" applyBorder="1">
      <alignment/>
      <protection/>
    </xf>
    <xf numFmtId="6" fontId="3" fillId="0" borderId="35" xfId="21" applyNumberFormat="1" applyFont="1" applyFill="1" applyBorder="1" applyAlignment="1">
      <alignment/>
    </xf>
    <xf numFmtId="0" fontId="3" fillId="0" borderId="0" xfId="22" applyFont="1" applyFill="1">
      <alignment/>
      <protection/>
    </xf>
    <xf numFmtId="169" fontId="3" fillId="0" borderId="0" xfId="0" applyNumberFormat="1" applyFont="1" applyFill="1" applyAlignment="1">
      <alignment/>
    </xf>
    <xf numFmtId="0" fontId="6" fillId="0" borderId="36" xfId="0" applyFont="1" applyFill="1" applyBorder="1" applyAlignment="1">
      <alignment horizontal="center"/>
    </xf>
    <xf numFmtId="169" fontId="6" fillId="0" borderId="35" xfId="0" applyNumberFormat="1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169" fontId="3" fillId="0" borderId="1" xfId="0" applyNumberFormat="1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0" fontId="3" fillId="0" borderId="40" xfId="0" applyFont="1" applyFill="1" applyBorder="1" applyAlignment="1">
      <alignment/>
    </xf>
    <xf numFmtId="6" fontId="3" fillId="0" borderId="8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169" fontId="3" fillId="0" borderId="41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0" fontId="3" fillId="0" borderId="42" xfId="0" applyFont="1" applyFill="1" applyBorder="1" applyAlignment="1">
      <alignment/>
    </xf>
    <xf numFmtId="3" fontId="3" fillId="0" borderId="6" xfId="0" applyNumberFormat="1" applyFont="1" applyFill="1" applyBorder="1" applyAlignment="1">
      <alignment/>
    </xf>
    <xf numFmtId="169" fontId="3" fillId="0" borderId="6" xfId="0" applyNumberFormat="1" applyFont="1" applyFill="1" applyBorder="1" applyAlignment="1">
      <alignment/>
    </xf>
    <xf numFmtId="169" fontId="3" fillId="0" borderId="43" xfId="0" applyNumberFormat="1" applyFont="1" applyFill="1" applyBorder="1" applyAlignment="1">
      <alignment/>
    </xf>
    <xf numFmtId="170" fontId="3" fillId="0" borderId="5" xfId="0" applyNumberFormat="1" applyFont="1" applyFill="1" applyBorder="1" applyAlignment="1">
      <alignment/>
    </xf>
    <xf numFmtId="169" fontId="3" fillId="0" borderId="44" xfId="0" applyNumberFormat="1" applyFont="1" applyFill="1" applyBorder="1" applyAlignment="1">
      <alignment/>
    </xf>
    <xf numFmtId="169" fontId="3" fillId="0" borderId="8" xfId="0" applyNumberFormat="1" applyFont="1" applyFill="1" applyBorder="1" applyAlignment="1">
      <alignment/>
    </xf>
    <xf numFmtId="3" fontId="3" fillId="0" borderId="45" xfId="0" applyNumberFormat="1" applyFont="1" applyFill="1" applyBorder="1" applyAlignment="1">
      <alignment/>
    </xf>
    <xf numFmtId="169" fontId="6" fillId="0" borderId="46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169" fontId="3" fillId="0" borderId="19" xfId="0" applyNumberFormat="1" applyFont="1" applyFill="1" applyBorder="1" applyAlignment="1">
      <alignment/>
    </xf>
    <xf numFmtId="169" fontId="3" fillId="0" borderId="39" xfId="0" applyNumberFormat="1" applyFont="1" applyFill="1" applyBorder="1" applyAlignment="1">
      <alignment/>
    </xf>
    <xf numFmtId="6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168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/>
    </xf>
    <xf numFmtId="6" fontId="3" fillId="0" borderId="0" xfId="0" applyNumberFormat="1" applyFont="1" applyFill="1" applyBorder="1" applyAlignment="1">
      <alignment/>
    </xf>
    <xf numFmtId="6" fontId="3" fillId="0" borderId="0" xfId="0" applyNumberFormat="1" applyFont="1" applyFill="1" applyAlignment="1">
      <alignment/>
    </xf>
    <xf numFmtId="6" fontId="3" fillId="0" borderId="20" xfId="0" applyNumberFormat="1" applyFont="1" applyFill="1" applyBorder="1" applyAlignment="1">
      <alignment/>
    </xf>
    <xf numFmtId="8" fontId="3" fillId="0" borderId="0" xfId="0" applyNumberFormat="1" applyFont="1" applyFill="1" applyAlignment="1">
      <alignment/>
    </xf>
    <xf numFmtId="0" fontId="3" fillId="0" borderId="47" xfId="0" applyFont="1" applyBorder="1" applyAlignment="1">
      <alignment wrapText="1"/>
    </xf>
    <xf numFmtId="0" fontId="6" fillId="0" borderId="48" xfId="0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/>
    </xf>
    <xf numFmtId="6" fontId="3" fillId="0" borderId="0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6" fillId="0" borderId="36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3" fontId="3" fillId="0" borderId="44" xfId="0" applyNumberFormat="1" applyFont="1" applyBorder="1" applyAlignment="1">
      <alignment/>
    </xf>
    <xf numFmtId="169" fontId="11" fillId="0" borderId="0" xfId="0" applyNumberFormat="1" applyFont="1" applyAlignment="1">
      <alignment/>
    </xf>
    <xf numFmtId="169" fontId="3" fillId="0" borderId="0" xfId="0" applyNumberFormat="1" applyFont="1" applyAlignment="1">
      <alignment horizontal="right"/>
    </xf>
    <xf numFmtId="169" fontId="3" fillId="0" borderId="0" xfId="0" applyNumberFormat="1" applyFont="1" applyAlignment="1">
      <alignment/>
    </xf>
    <xf numFmtId="169" fontId="6" fillId="0" borderId="0" xfId="0" applyNumberFormat="1" applyFont="1" applyAlignment="1">
      <alignment horizontal="right"/>
    </xf>
    <xf numFmtId="169" fontId="6" fillId="0" borderId="35" xfId="0" applyNumberFormat="1" applyFont="1" applyBorder="1" applyAlignment="1">
      <alignment horizontal="center"/>
    </xf>
    <xf numFmtId="169" fontId="3" fillId="0" borderId="8" xfId="0" applyNumberFormat="1" applyFont="1" applyBorder="1" applyAlignment="1">
      <alignment/>
    </xf>
    <xf numFmtId="169" fontId="3" fillId="0" borderId="30" xfId="0" applyNumberFormat="1" applyFont="1" applyBorder="1" applyAlignment="1">
      <alignment/>
    </xf>
    <xf numFmtId="169" fontId="3" fillId="0" borderId="30" xfId="0" applyNumberFormat="1" applyFont="1" applyFill="1" applyBorder="1" applyAlignment="1">
      <alignment/>
    </xf>
    <xf numFmtId="169" fontId="3" fillId="0" borderId="3" xfId="0" applyNumberFormat="1" applyFont="1" applyBorder="1" applyAlignment="1">
      <alignment/>
    </xf>
    <xf numFmtId="169" fontId="3" fillId="0" borderId="41" xfId="0" applyNumberFormat="1" applyFont="1" applyBorder="1" applyAlignment="1">
      <alignment/>
    </xf>
    <xf numFmtId="169" fontId="3" fillId="0" borderId="45" xfId="0" applyNumberFormat="1" applyFont="1" applyBorder="1" applyAlignment="1">
      <alignment/>
    </xf>
    <xf numFmtId="169" fontId="3" fillId="0" borderId="5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170" fontId="3" fillId="0" borderId="0" xfId="0" applyNumberFormat="1" applyFont="1" applyBorder="1" applyAlignment="1">
      <alignment/>
    </xf>
    <xf numFmtId="170" fontId="3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169" fontId="14" fillId="0" borderId="5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39" xfId="0" applyFont="1" applyFill="1" applyBorder="1" applyAlignment="1">
      <alignment/>
    </xf>
    <xf numFmtId="3" fontId="14" fillId="0" borderId="5" xfId="0" applyNumberFormat="1" applyFont="1" applyFill="1" applyBorder="1" applyAlignment="1">
      <alignment/>
    </xf>
    <xf numFmtId="169" fontId="14" fillId="0" borderId="5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5" xfId="0" applyFont="1" applyFill="1" applyBorder="1" applyAlignment="1">
      <alignment/>
    </xf>
    <xf numFmtId="6" fontId="14" fillId="0" borderId="14" xfId="0" applyNumberFormat="1" applyFont="1" applyFill="1" applyBorder="1" applyAlignment="1">
      <alignment/>
    </xf>
    <xf numFmtId="8" fontId="14" fillId="0" borderId="5" xfId="0" applyNumberFormat="1" applyFont="1" applyFill="1" applyBorder="1" applyAlignment="1">
      <alignment/>
    </xf>
    <xf numFmtId="6" fontId="14" fillId="0" borderId="5" xfId="0" applyNumberFormat="1" applyFont="1" applyFill="1" applyBorder="1" applyAlignment="1">
      <alignment/>
    </xf>
    <xf numFmtId="170" fontId="3" fillId="0" borderId="6" xfId="0" applyNumberFormat="1" applyFont="1" applyBorder="1" applyAlignment="1">
      <alignment/>
    </xf>
    <xf numFmtId="169" fontId="3" fillId="0" borderId="21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Fill="1" applyBorder="1" applyAlignment="1">
      <alignment wrapText="1"/>
    </xf>
    <xf numFmtId="169" fontId="3" fillId="0" borderId="21" xfId="0" applyNumberFormat="1" applyFont="1" applyBorder="1" applyAlignment="1">
      <alignment wrapText="1"/>
    </xf>
    <xf numFmtId="0" fontId="3" fillId="0" borderId="49" xfId="0" applyFont="1" applyBorder="1" applyAlignment="1">
      <alignment/>
    </xf>
    <xf numFmtId="170" fontId="3" fillId="0" borderId="3" xfId="0" applyNumberFormat="1" applyFont="1" applyBorder="1" applyAlignment="1">
      <alignment/>
    </xf>
    <xf numFmtId="169" fontId="3" fillId="0" borderId="27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170" fontId="3" fillId="0" borderId="3" xfId="0" applyNumberFormat="1" applyFont="1" applyFill="1" applyBorder="1" applyAlignment="1">
      <alignment/>
    </xf>
    <xf numFmtId="169" fontId="3" fillId="0" borderId="10" xfId="0" applyNumberFormat="1" applyFont="1" applyFill="1" applyBorder="1" applyAlignment="1">
      <alignment/>
    </xf>
    <xf numFmtId="0" fontId="3" fillId="0" borderId="50" xfId="0" applyFont="1" applyFill="1" applyBorder="1" applyAlignment="1">
      <alignment/>
    </xf>
    <xf numFmtId="169" fontId="3" fillId="0" borderId="51" xfId="0" applyNumberFormat="1" applyFont="1" applyBorder="1" applyAlignment="1">
      <alignment/>
    </xf>
    <xf numFmtId="169" fontId="6" fillId="0" borderId="52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27" xfId="0" applyFont="1" applyFill="1" applyBorder="1" applyAlignment="1">
      <alignment/>
    </xf>
    <xf numFmtId="169" fontId="3" fillId="0" borderId="27" xfId="0" applyNumberFormat="1" applyFont="1" applyFill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169" fontId="3" fillId="0" borderId="1" xfId="0" applyNumberFormat="1" applyFont="1" applyBorder="1" applyAlignment="1">
      <alignment/>
    </xf>
    <xf numFmtId="3" fontId="3" fillId="0" borderId="5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3" fillId="0" borderId="45" xfId="0" applyNumberFormat="1" applyFont="1" applyBorder="1" applyAlignment="1">
      <alignment/>
    </xf>
    <xf numFmtId="169" fontId="6" fillId="0" borderId="58" xfId="0" applyNumberFormat="1" applyFont="1" applyBorder="1" applyAlignment="1">
      <alignment horizontal="center"/>
    </xf>
    <xf numFmtId="169" fontId="3" fillId="0" borderId="9" xfId="0" applyNumberFormat="1" applyFont="1" applyFill="1" applyBorder="1" applyAlignment="1">
      <alignment/>
    </xf>
    <xf numFmtId="169" fontId="6" fillId="0" borderId="16" xfId="0" applyNumberFormat="1" applyFont="1" applyBorder="1" applyAlignment="1">
      <alignment/>
    </xf>
    <xf numFmtId="169" fontId="3" fillId="0" borderId="29" xfId="0" applyNumberFormat="1" applyFont="1" applyBorder="1" applyAlignment="1">
      <alignment/>
    </xf>
    <xf numFmtId="169" fontId="6" fillId="0" borderId="17" xfId="0" applyNumberFormat="1" applyFont="1" applyBorder="1" applyAlignment="1">
      <alignment/>
    </xf>
    <xf numFmtId="0" fontId="14" fillId="0" borderId="10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3" fillId="0" borderId="61" xfId="0" applyFont="1" applyFill="1" applyBorder="1" applyAlignment="1">
      <alignment/>
    </xf>
    <xf numFmtId="0" fontId="3" fillId="0" borderId="62" xfId="0" applyFont="1" applyBorder="1" applyAlignment="1">
      <alignment/>
    </xf>
    <xf numFmtId="0" fontId="3" fillId="0" borderId="62" xfId="0" applyFont="1" applyFill="1" applyBorder="1" applyAlignment="1">
      <alignment/>
    </xf>
    <xf numFmtId="0" fontId="3" fillId="0" borderId="61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3" xfId="0" applyFont="1" applyFill="1" applyBorder="1" applyAlignment="1">
      <alignment/>
    </xf>
    <xf numFmtId="169" fontId="3" fillId="0" borderId="6" xfId="0" applyNumberFormat="1" applyFont="1" applyBorder="1" applyAlignment="1">
      <alignment/>
    </xf>
    <xf numFmtId="170" fontId="3" fillId="0" borderId="6" xfId="0" applyNumberFormat="1" applyFont="1" applyFill="1" applyBorder="1" applyAlignment="1">
      <alignment/>
    </xf>
    <xf numFmtId="6" fontId="3" fillId="0" borderId="9" xfId="0" applyNumberFormat="1" applyFont="1" applyFill="1" applyBorder="1" applyAlignment="1">
      <alignment/>
    </xf>
    <xf numFmtId="6" fontId="3" fillId="0" borderId="7" xfId="0" applyNumberFormat="1" applyFont="1" applyFill="1" applyBorder="1" applyAlignment="1">
      <alignment/>
    </xf>
    <xf numFmtId="6" fontId="3" fillId="0" borderId="4" xfId="0" applyNumberFormat="1" applyFont="1" applyFill="1" applyBorder="1" applyAlignment="1">
      <alignment/>
    </xf>
    <xf numFmtId="0" fontId="6" fillId="0" borderId="47" xfId="0" applyFont="1" applyBorder="1" applyAlignment="1">
      <alignment horizontal="center" wrapText="1"/>
    </xf>
    <xf numFmtId="0" fontId="6" fillId="0" borderId="64" xfId="0" applyFont="1" applyBorder="1" applyAlignment="1">
      <alignment horizontal="center" wrapText="1"/>
    </xf>
    <xf numFmtId="6" fontId="3" fillId="0" borderId="23" xfId="0" applyNumberFormat="1" applyFont="1" applyBorder="1" applyAlignment="1">
      <alignment/>
    </xf>
    <xf numFmtId="6" fontId="3" fillId="0" borderId="65" xfId="0" applyNumberFormat="1" applyFont="1" applyBorder="1" applyAlignment="1">
      <alignment/>
    </xf>
    <xf numFmtId="6" fontId="3" fillId="0" borderId="49" xfId="0" applyNumberFormat="1" applyFont="1" applyBorder="1" applyAlignment="1">
      <alignment/>
    </xf>
    <xf numFmtId="6" fontId="3" fillId="0" borderId="23" xfId="0" applyNumberFormat="1" applyFont="1" applyBorder="1" applyAlignment="1">
      <alignment/>
    </xf>
    <xf numFmtId="6" fontId="3" fillId="0" borderId="49" xfId="0" applyNumberFormat="1" applyFont="1" applyBorder="1" applyAlignment="1">
      <alignment/>
    </xf>
    <xf numFmtId="169" fontId="3" fillId="0" borderId="21" xfId="0" applyNumberFormat="1" applyFont="1" applyBorder="1" applyAlignment="1">
      <alignment/>
    </xf>
    <xf numFmtId="169" fontId="3" fillId="0" borderId="49" xfId="0" applyNumberFormat="1" applyFont="1" applyBorder="1" applyAlignment="1">
      <alignment/>
    </xf>
    <xf numFmtId="6" fontId="6" fillId="0" borderId="22" xfId="0" applyNumberFormat="1" applyFont="1" applyBorder="1" applyAlignment="1">
      <alignment/>
    </xf>
    <xf numFmtId="0" fontId="6" fillId="0" borderId="48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66" xfId="0" applyFont="1" applyBorder="1" applyAlignment="1">
      <alignment/>
    </xf>
    <xf numFmtId="169" fontId="3" fillId="0" borderId="39" xfId="0" applyNumberFormat="1" applyFont="1" applyBorder="1" applyAlignment="1">
      <alignment/>
    </xf>
    <xf numFmtId="169" fontId="3" fillId="0" borderId="67" xfId="0" applyNumberFormat="1" applyFont="1" applyBorder="1" applyAlignment="1">
      <alignment/>
    </xf>
    <xf numFmtId="169" fontId="3" fillId="0" borderId="6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3" fillId="0" borderId="68" xfId="0" applyFont="1" applyBorder="1" applyAlignment="1">
      <alignment/>
    </xf>
    <xf numFmtId="169" fontId="3" fillId="0" borderId="40" xfId="0" applyNumberFormat="1" applyFont="1" applyBorder="1" applyAlignment="1">
      <alignment/>
    </xf>
    <xf numFmtId="169" fontId="3" fillId="0" borderId="69" xfId="0" applyNumberFormat="1" applyFont="1" applyBorder="1" applyAlignment="1">
      <alignment/>
    </xf>
    <xf numFmtId="169" fontId="3" fillId="0" borderId="42" xfId="0" applyNumberFormat="1" applyFont="1" applyBorder="1" applyAlignment="1">
      <alignment/>
    </xf>
    <xf numFmtId="169" fontId="3" fillId="0" borderId="70" xfId="0" applyNumberFormat="1" applyFont="1" applyBorder="1" applyAlignment="1">
      <alignment/>
    </xf>
    <xf numFmtId="169" fontId="3" fillId="0" borderId="68" xfId="0" applyNumberFormat="1" applyFont="1" applyFill="1" applyBorder="1" applyAlignment="1">
      <alignment/>
    </xf>
    <xf numFmtId="0" fontId="6" fillId="0" borderId="39" xfId="0" applyFont="1" applyFill="1" applyBorder="1" applyAlignment="1">
      <alignment/>
    </xf>
    <xf numFmtId="169" fontId="6" fillId="0" borderId="5" xfId="0" applyNumberFormat="1" applyFont="1" applyFill="1" applyBorder="1" applyAlignment="1">
      <alignment/>
    </xf>
    <xf numFmtId="169" fontId="6" fillId="0" borderId="68" xfId="0" applyNumberFormat="1" applyFont="1" applyFill="1" applyBorder="1" applyAlignment="1">
      <alignment/>
    </xf>
    <xf numFmtId="169" fontId="3" fillId="0" borderId="71" xfId="0" applyNumberFormat="1" applyFont="1" applyBorder="1" applyAlignment="1">
      <alignment/>
    </xf>
    <xf numFmtId="169" fontId="3" fillId="0" borderId="72" xfId="0" applyNumberFormat="1" applyFont="1" applyBorder="1" applyAlignment="1">
      <alignment/>
    </xf>
    <xf numFmtId="169" fontId="3" fillId="0" borderId="73" xfId="0" applyNumberFormat="1" applyFont="1" applyBorder="1" applyAlignment="1">
      <alignment/>
    </xf>
    <xf numFmtId="169" fontId="3" fillId="0" borderId="44" xfId="0" applyNumberFormat="1" applyFont="1" applyBorder="1" applyAlignment="1">
      <alignment/>
    </xf>
    <xf numFmtId="169" fontId="3" fillId="0" borderId="73" xfId="0" applyNumberFormat="1" applyFont="1" applyFill="1" applyBorder="1" applyAlignment="1">
      <alignment/>
    </xf>
    <xf numFmtId="169" fontId="3" fillId="0" borderId="72" xfId="0" applyNumberFormat="1" applyFont="1" applyFill="1" applyBorder="1" applyAlignment="1">
      <alignment/>
    </xf>
    <xf numFmtId="0" fontId="3" fillId="0" borderId="68" xfId="0" applyFont="1" applyFill="1" applyBorder="1" applyAlignment="1">
      <alignment/>
    </xf>
    <xf numFmtId="169" fontId="3" fillId="0" borderId="74" xfId="0" applyNumberFormat="1" applyFont="1" applyBorder="1" applyAlignment="1">
      <alignment/>
    </xf>
    <xf numFmtId="169" fontId="3" fillId="0" borderId="75" xfId="0" applyNumberFormat="1" applyFont="1" applyFill="1" applyBorder="1" applyAlignment="1">
      <alignment/>
    </xf>
    <xf numFmtId="169" fontId="3" fillId="0" borderId="76" xfId="0" applyNumberFormat="1" applyFont="1" applyBorder="1" applyAlignment="1">
      <alignment/>
    </xf>
    <xf numFmtId="169" fontId="3" fillId="0" borderId="24" xfId="0" applyNumberFormat="1" applyFont="1" applyBorder="1" applyAlignment="1">
      <alignment/>
    </xf>
    <xf numFmtId="169" fontId="3" fillId="0" borderId="77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169" fontId="14" fillId="0" borderId="0" xfId="0" applyNumberFormat="1" applyFont="1" applyFill="1" applyAlignment="1">
      <alignment/>
    </xf>
    <xf numFmtId="0" fontId="14" fillId="0" borderId="0" xfId="0" applyFont="1" applyFill="1" applyAlignment="1">
      <alignment horizontal="right"/>
    </xf>
    <xf numFmtId="0" fontId="16" fillId="0" borderId="0" xfId="0" applyFont="1" applyAlignment="1">
      <alignment/>
    </xf>
    <xf numFmtId="3" fontId="14" fillId="0" borderId="0" xfId="0" applyNumberFormat="1" applyFont="1" applyAlignment="1">
      <alignment/>
    </xf>
    <xf numFmtId="169" fontId="14" fillId="0" borderId="0" xfId="0" applyNumberFormat="1" applyFont="1" applyAlignment="1">
      <alignment/>
    </xf>
    <xf numFmtId="0" fontId="16" fillId="0" borderId="0" xfId="0" applyFont="1" applyFill="1" applyAlignment="1">
      <alignment horizontal="right"/>
    </xf>
    <xf numFmtId="168" fontId="14" fillId="0" borderId="0" xfId="0" applyNumberFormat="1" applyFont="1" applyFill="1" applyAlignment="1">
      <alignment horizontal="right"/>
    </xf>
    <xf numFmtId="169" fontId="14" fillId="0" borderId="0" xfId="0" applyNumberFormat="1" applyFont="1" applyBorder="1" applyAlignment="1">
      <alignment/>
    </xf>
    <xf numFmtId="0" fontId="14" fillId="0" borderId="1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5" xfId="0" applyFont="1" applyBorder="1" applyAlignment="1">
      <alignment horizontal="center"/>
    </xf>
    <xf numFmtId="169" fontId="14" fillId="0" borderId="14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169" fontId="14" fillId="0" borderId="14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8" xfId="0" applyFont="1" applyFill="1" applyBorder="1" applyAlignment="1">
      <alignment/>
    </xf>
    <xf numFmtId="0" fontId="14" fillId="0" borderId="40" xfId="0" applyFont="1" applyFill="1" applyBorder="1" applyAlignment="1">
      <alignment/>
    </xf>
    <xf numFmtId="0" fontId="14" fillId="0" borderId="7" xfId="0" applyFont="1" applyBorder="1" applyAlignment="1">
      <alignment/>
    </xf>
    <xf numFmtId="169" fontId="14" fillId="0" borderId="7" xfId="0" applyNumberFormat="1" applyFont="1" applyBorder="1" applyAlignment="1">
      <alignment/>
    </xf>
    <xf numFmtId="3" fontId="14" fillId="0" borderId="6" xfId="0" applyNumberFormat="1" applyFont="1" applyFill="1" applyBorder="1" applyAlignment="1">
      <alignment/>
    </xf>
    <xf numFmtId="169" fontId="14" fillId="0" borderId="43" xfId="0" applyNumberFormat="1" applyFont="1" applyFill="1" applyBorder="1" applyAlignment="1">
      <alignment/>
    </xf>
    <xf numFmtId="0" fontId="14" fillId="0" borderId="78" xfId="0" applyFont="1" applyFill="1" applyBorder="1" applyAlignment="1">
      <alignment/>
    </xf>
    <xf numFmtId="0" fontId="14" fillId="0" borderId="42" xfId="0" applyFont="1" applyFill="1" applyBorder="1" applyAlignment="1">
      <alignment/>
    </xf>
    <xf numFmtId="0" fontId="16" fillId="0" borderId="0" xfId="0" applyFont="1" applyFill="1" applyAlignment="1">
      <alignment/>
    </xf>
    <xf numFmtId="49" fontId="14" fillId="0" borderId="5" xfId="0" applyNumberFormat="1" applyFont="1" applyFill="1" applyBorder="1" applyAlignment="1">
      <alignment horizontal="center"/>
    </xf>
    <xf numFmtId="169" fontId="14" fillId="0" borderId="39" xfId="0" applyNumberFormat="1" applyFont="1" applyFill="1" applyBorder="1" applyAlignment="1">
      <alignment/>
    </xf>
    <xf numFmtId="0" fontId="14" fillId="0" borderId="5" xfId="0" applyFont="1" applyFill="1" applyBorder="1" applyAlignment="1">
      <alignment horizontal="center"/>
    </xf>
    <xf numFmtId="169" fontId="14" fillId="0" borderId="10" xfId="0" applyNumberFormat="1" applyFont="1" applyBorder="1" applyAlignment="1">
      <alignment/>
    </xf>
    <xf numFmtId="169" fontId="14" fillId="0" borderId="6" xfId="0" applyNumberFormat="1" applyFont="1" applyFill="1" applyBorder="1" applyAlignment="1">
      <alignment/>
    </xf>
    <xf numFmtId="169" fontId="14" fillId="0" borderId="10" xfId="0" applyNumberFormat="1" applyFont="1" applyFill="1" applyBorder="1" applyAlignment="1">
      <alignment/>
    </xf>
    <xf numFmtId="0" fontId="14" fillId="0" borderId="71" xfId="0" applyFont="1" applyFill="1" applyBorder="1" applyAlignment="1">
      <alignment/>
    </xf>
    <xf numFmtId="0" fontId="14" fillId="0" borderId="15" xfId="0" applyFont="1" applyBorder="1" applyAlignment="1">
      <alignment/>
    </xf>
    <xf numFmtId="0" fontId="14" fillId="0" borderId="30" xfId="0" applyFont="1" applyFill="1" applyBorder="1" applyAlignment="1">
      <alignment/>
    </xf>
    <xf numFmtId="38" fontId="14" fillId="0" borderId="3" xfId="0" applyNumberFormat="1" applyFont="1" applyFill="1" applyBorder="1" applyAlignment="1">
      <alignment/>
    </xf>
    <xf numFmtId="6" fontId="14" fillId="0" borderId="3" xfId="0" applyNumberFormat="1" applyFont="1" applyFill="1" applyBorder="1" applyAlignment="1">
      <alignment/>
    </xf>
    <xf numFmtId="169" fontId="14" fillId="0" borderId="44" xfId="0" applyNumberFormat="1" applyFont="1" applyFill="1" applyBorder="1" applyAlignment="1">
      <alignment/>
    </xf>
    <xf numFmtId="3" fontId="14" fillId="0" borderId="45" xfId="0" applyNumberFormat="1" applyFont="1" applyFill="1" applyBorder="1" applyAlignment="1">
      <alignment/>
    </xf>
    <xf numFmtId="0" fontId="14" fillId="0" borderId="79" xfId="0" applyFont="1" applyFill="1" applyBorder="1" applyAlignment="1">
      <alignment/>
    </xf>
    <xf numFmtId="0" fontId="14" fillId="0" borderId="74" xfId="0" applyFont="1" applyFill="1" applyBorder="1" applyAlignment="1">
      <alignment/>
    </xf>
    <xf numFmtId="6" fontId="14" fillId="0" borderId="45" xfId="0" applyNumberFormat="1" applyFont="1" applyFill="1" applyBorder="1" applyAlignment="1">
      <alignment/>
    </xf>
    <xf numFmtId="0" fontId="14" fillId="0" borderId="19" xfId="0" applyFont="1" applyFill="1" applyBorder="1" applyAlignment="1">
      <alignment/>
    </xf>
    <xf numFmtId="3" fontId="14" fillId="0" borderId="19" xfId="0" applyNumberFormat="1" applyFont="1" applyFill="1" applyBorder="1" applyAlignment="1">
      <alignment/>
    </xf>
    <xf numFmtId="6" fontId="14" fillId="0" borderId="19" xfId="0" applyNumberFormat="1" applyFont="1" applyFill="1" applyBorder="1" applyAlignment="1">
      <alignment/>
    </xf>
    <xf numFmtId="8" fontId="14" fillId="0" borderId="19" xfId="0" applyNumberFormat="1" applyFont="1" applyFill="1" applyBorder="1" applyAlignment="1">
      <alignment/>
    </xf>
    <xf numFmtId="0" fontId="14" fillId="0" borderId="8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6" fontId="14" fillId="0" borderId="0" xfId="0" applyNumberFormat="1" applyFont="1" applyFill="1" applyAlignment="1">
      <alignment/>
    </xf>
    <xf numFmtId="8" fontId="14" fillId="0" borderId="0" xfId="0" applyNumberFormat="1" applyFont="1" applyFill="1" applyBorder="1" applyAlignment="1">
      <alignment/>
    </xf>
    <xf numFmtId="6" fontId="14" fillId="0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81" xfId="0" applyFont="1" applyBorder="1" applyAlignment="1">
      <alignment/>
    </xf>
    <xf numFmtId="3" fontId="3" fillId="0" borderId="9" xfId="0" applyNumberFormat="1" applyFont="1" applyBorder="1" applyAlignment="1">
      <alignment/>
    </xf>
    <xf numFmtId="6" fontId="3" fillId="0" borderId="8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82" xfId="0" applyFont="1" applyBorder="1" applyAlignment="1">
      <alignment/>
    </xf>
    <xf numFmtId="169" fontId="3" fillId="0" borderId="62" xfId="0" applyNumberFormat="1" applyFont="1" applyBorder="1" applyAlignment="1">
      <alignment/>
    </xf>
    <xf numFmtId="0" fontId="3" fillId="0" borderId="83" xfId="0" applyFont="1" applyBorder="1" applyAlignment="1">
      <alignment/>
    </xf>
    <xf numFmtId="0" fontId="3" fillId="0" borderId="84" xfId="0" applyFont="1" applyBorder="1" applyAlignment="1">
      <alignment/>
    </xf>
    <xf numFmtId="169" fontId="3" fillId="0" borderId="38" xfId="0" applyNumberFormat="1" applyFont="1" applyFill="1" applyBorder="1" applyAlignment="1">
      <alignment/>
    </xf>
    <xf numFmtId="0" fontId="14" fillId="0" borderId="49" xfId="0" applyFont="1" applyBorder="1" applyAlignment="1">
      <alignment/>
    </xf>
    <xf numFmtId="169" fontId="3" fillId="0" borderId="78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169" fontId="3" fillId="0" borderId="81" xfId="0" applyNumberFormat="1" applyFont="1" applyBorder="1" applyAlignment="1">
      <alignment/>
    </xf>
    <xf numFmtId="169" fontId="3" fillId="0" borderId="85" xfId="0" applyNumberFormat="1" applyFont="1" applyBorder="1" applyAlignment="1">
      <alignment/>
    </xf>
    <xf numFmtId="169" fontId="3" fillId="0" borderId="86" xfId="0" applyNumberFormat="1" applyFont="1" applyBorder="1" applyAlignment="1">
      <alignment/>
    </xf>
    <xf numFmtId="169" fontId="3" fillId="0" borderId="83" xfId="0" applyNumberFormat="1" applyFont="1" applyBorder="1" applyAlignment="1">
      <alignment/>
    </xf>
    <xf numFmtId="185" fontId="3" fillId="0" borderId="7" xfId="0" applyNumberFormat="1" applyFont="1" applyBorder="1" applyAlignment="1">
      <alignment/>
    </xf>
    <xf numFmtId="185" fontId="3" fillId="0" borderId="5" xfId="0" applyNumberFormat="1" applyFont="1" applyBorder="1" applyAlignment="1">
      <alignment/>
    </xf>
    <xf numFmtId="185" fontId="3" fillId="0" borderId="5" xfId="0" applyNumberFormat="1" applyFont="1" applyFill="1" applyBorder="1" applyAlignment="1">
      <alignment/>
    </xf>
    <xf numFmtId="0" fontId="14" fillId="0" borderId="87" xfId="0" applyFont="1" applyFill="1" applyBorder="1" applyAlignment="1">
      <alignment/>
    </xf>
    <xf numFmtId="6" fontId="14" fillId="0" borderId="54" xfId="0" applyNumberFormat="1" applyFont="1" applyFill="1" applyBorder="1" applyAlignment="1">
      <alignment/>
    </xf>
    <xf numFmtId="6" fontId="14" fillId="0" borderId="0" xfId="0" applyNumberFormat="1" applyFont="1" applyBorder="1" applyAlignment="1">
      <alignment/>
    </xf>
    <xf numFmtId="6" fontId="14" fillId="0" borderId="20" xfId="0" applyNumberFormat="1" applyFont="1" applyBorder="1" applyAlignment="1">
      <alignment/>
    </xf>
    <xf numFmtId="6" fontId="14" fillId="0" borderId="27" xfId="0" applyNumberFormat="1" applyFont="1" applyFill="1" applyBorder="1" applyAlignment="1">
      <alignment/>
    </xf>
    <xf numFmtId="6" fontId="14" fillId="0" borderId="2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6" fillId="0" borderId="21" xfId="0" applyFont="1" applyBorder="1" applyAlignment="1">
      <alignment/>
    </xf>
    <xf numFmtId="6" fontId="14" fillId="0" borderId="21" xfId="0" applyNumberFormat="1" applyFont="1" applyBorder="1" applyAlignment="1">
      <alignment wrapText="1"/>
    </xf>
    <xf numFmtId="0" fontId="14" fillId="0" borderId="47" xfId="0" applyFont="1" applyBorder="1" applyAlignment="1">
      <alignment/>
    </xf>
    <xf numFmtId="6" fontId="14" fillId="0" borderId="21" xfId="0" applyNumberFormat="1" applyFont="1" applyFill="1" applyBorder="1" applyAlignment="1">
      <alignment wrapText="1"/>
    </xf>
    <xf numFmtId="0" fontId="14" fillId="0" borderId="21" xfId="0" applyFont="1" applyBorder="1" applyAlignment="1">
      <alignment wrapText="1"/>
    </xf>
    <xf numFmtId="9" fontId="14" fillId="0" borderId="21" xfId="0" applyNumberFormat="1" applyFont="1" applyBorder="1" applyAlignment="1">
      <alignment/>
    </xf>
    <xf numFmtId="0" fontId="14" fillId="0" borderId="64" xfId="0" applyFont="1" applyBorder="1" applyAlignment="1">
      <alignment/>
    </xf>
    <xf numFmtId="0" fontId="16" fillId="0" borderId="0" xfId="0" applyFont="1" applyBorder="1" applyAlignment="1">
      <alignment/>
    </xf>
    <xf numFmtId="185" fontId="3" fillId="0" borderId="10" xfId="0" applyNumberFormat="1" applyFont="1" applyBorder="1" applyAlignment="1">
      <alignment/>
    </xf>
    <xf numFmtId="169" fontId="3" fillId="0" borderId="69" xfId="0" applyNumberFormat="1" applyFont="1" applyFill="1" applyBorder="1" applyAlignment="1">
      <alignment/>
    </xf>
    <xf numFmtId="0" fontId="3" fillId="0" borderId="88" xfId="0" applyFont="1" applyBorder="1" applyAlignment="1">
      <alignment/>
    </xf>
    <xf numFmtId="3" fontId="3" fillId="0" borderId="24" xfId="0" applyNumberFormat="1" applyFont="1" applyBorder="1" applyAlignment="1">
      <alignment/>
    </xf>
    <xf numFmtId="169" fontId="3" fillId="0" borderId="24" xfId="17" applyNumberFormat="1" applyFont="1" applyBorder="1" applyAlignment="1">
      <alignment/>
    </xf>
    <xf numFmtId="6" fontId="3" fillId="0" borderId="58" xfId="22" applyNumberFormat="1" applyFont="1" applyFill="1" applyBorder="1" applyAlignment="1">
      <alignment horizontal="right"/>
      <protection/>
    </xf>
    <xf numFmtId="0" fontId="13" fillId="0" borderId="5" xfId="22" applyFont="1" applyFill="1" applyBorder="1">
      <alignment/>
      <protection/>
    </xf>
    <xf numFmtId="0" fontId="3" fillId="0" borderId="29" xfId="0" applyFont="1" applyFill="1" applyBorder="1" applyAlignment="1">
      <alignment/>
    </xf>
    <xf numFmtId="6" fontId="3" fillId="0" borderId="29" xfId="0" applyNumberFormat="1" applyFont="1" applyBorder="1" applyAlignment="1">
      <alignment/>
    </xf>
    <xf numFmtId="6" fontId="3" fillId="0" borderId="89" xfId="0" applyNumberFormat="1" applyFont="1" applyBorder="1" applyAlignment="1">
      <alignment/>
    </xf>
    <xf numFmtId="169" fontId="3" fillId="0" borderId="84" xfId="0" applyNumberFormat="1" applyFont="1" applyBorder="1" applyAlignment="1">
      <alignment/>
    </xf>
    <xf numFmtId="169" fontId="3" fillId="0" borderId="90" xfId="0" applyNumberFormat="1" applyFont="1" applyBorder="1" applyAlignment="1">
      <alignment/>
    </xf>
    <xf numFmtId="169" fontId="3" fillId="0" borderId="91" xfId="0" applyNumberFormat="1" applyFont="1" applyBorder="1" applyAlignment="1">
      <alignment/>
    </xf>
    <xf numFmtId="185" fontId="3" fillId="0" borderId="6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169" fontId="3" fillId="0" borderId="92" xfId="0" applyNumberFormat="1" applyFont="1" applyFill="1" applyBorder="1" applyAlignment="1">
      <alignment/>
    </xf>
    <xf numFmtId="0" fontId="3" fillId="0" borderId="93" xfId="0" applyFont="1" applyBorder="1" applyAlignment="1">
      <alignment/>
    </xf>
    <xf numFmtId="169" fontId="3" fillId="0" borderId="80" xfId="17" applyNumberFormat="1" applyFont="1" applyBorder="1" applyAlignment="1">
      <alignment/>
    </xf>
    <xf numFmtId="6" fontId="3" fillId="0" borderId="9" xfId="0" applyNumberFormat="1" applyFont="1" applyBorder="1" applyAlignment="1">
      <alignment/>
    </xf>
    <xf numFmtId="9" fontId="3" fillId="0" borderId="0" xfId="0" applyNumberFormat="1" applyFont="1" applyFill="1" applyBorder="1" applyAlignment="1">
      <alignment/>
    </xf>
    <xf numFmtId="6" fontId="3" fillId="0" borderId="20" xfId="0" applyNumberFormat="1" applyFont="1" applyBorder="1" applyAlignment="1">
      <alignment/>
    </xf>
    <xf numFmtId="9" fontId="3" fillId="0" borderId="7" xfId="23" applyFont="1" applyBorder="1" applyAlignment="1">
      <alignment/>
    </xf>
    <xf numFmtId="6" fontId="3" fillId="0" borderId="7" xfId="0" applyNumberFormat="1" applyFont="1" applyBorder="1" applyAlignment="1">
      <alignment/>
    </xf>
    <xf numFmtId="6" fontId="3" fillId="0" borderId="94" xfId="0" applyNumberFormat="1" applyFont="1" applyFill="1" applyBorder="1" applyAlignment="1">
      <alignment/>
    </xf>
    <xf numFmtId="0" fontId="3" fillId="0" borderId="64" xfId="0" applyFont="1" applyBorder="1" applyAlignment="1">
      <alignment/>
    </xf>
    <xf numFmtId="9" fontId="3" fillId="0" borderId="39" xfId="0" applyNumberFormat="1" applyFont="1" applyFill="1" applyBorder="1" applyAlignment="1">
      <alignment/>
    </xf>
    <xf numFmtId="0" fontId="3" fillId="0" borderId="95" xfId="0" applyFont="1" applyFill="1" applyBorder="1" applyAlignment="1">
      <alignment/>
    </xf>
    <xf numFmtId="6" fontId="3" fillId="0" borderId="96" xfId="0" applyNumberFormat="1" applyFont="1" applyFill="1" applyBorder="1" applyAlignment="1">
      <alignment/>
    </xf>
    <xf numFmtId="0" fontId="6" fillId="0" borderId="97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3" fillId="0" borderId="10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78" xfId="0" applyFont="1" applyFill="1" applyBorder="1" applyAlignment="1">
      <alignment/>
    </xf>
    <xf numFmtId="6" fontId="3" fillId="0" borderId="14" xfId="0" applyNumberFormat="1" applyFont="1" applyBorder="1" applyAlignment="1">
      <alignment/>
    </xf>
    <xf numFmtId="0" fontId="3" fillId="0" borderId="82" xfId="0" applyFont="1" applyFill="1" applyBorder="1" applyAlignment="1">
      <alignment/>
    </xf>
    <xf numFmtId="169" fontId="3" fillId="0" borderId="3" xfId="0" applyNumberFormat="1" applyFont="1" applyFill="1" applyBorder="1" applyAlignment="1">
      <alignment/>
    </xf>
    <xf numFmtId="171" fontId="3" fillId="0" borderId="8" xfId="0" applyNumberFormat="1" applyFont="1" applyFill="1" applyBorder="1" applyAlignment="1">
      <alignment/>
    </xf>
    <xf numFmtId="169" fontId="3" fillId="0" borderId="43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0" borderId="30" xfId="0" applyFont="1" applyFill="1" applyBorder="1" applyAlignment="1">
      <alignment/>
    </xf>
    <xf numFmtId="38" fontId="3" fillId="0" borderId="3" xfId="0" applyNumberFormat="1" applyFont="1" applyFill="1" applyBorder="1" applyAlignment="1">
      <alignment/>
    </xf>
    <xf numFmtId="6" fontId="3" fillId="0" borderId="41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6" fontId="3" fillId="0" borderId="27" xfId="0" applyNumberFormat="1" applyFont="1" applyFill="1" applyBorder="1" applyAlignment="1">
      <alignment/>
    </xf>
    <xf numFmtId="6" fontId="6" fillId="0" borderId="54" xfId="0" applyNumberFormat="1" applyFont="1" applyFill="1" applyBorder="1" applyAlignment="1">
      <alignment/>
    </xf>
    <xf numFmtId="0" fontId="3" fillId="0" borderId="21" xfId="0" applyFont="1" applyBorder="1" applyAlignment="1">
      <alignment wrapText="1"/>
    </xf>
    <xf numFmtId="9" fontId="3" fillId="0" borderId="21" xfId="0" applyNumberFormat="1" applyFont="1" applyBorder="1" applyAlignment="1">
      <alignment/>
    </xf>
    <xf numFmtId="3" fontId="14" fillId="0" borderId="24" xfId="0" applyNumberFormat="1" applyFont="1" applyFill="1" applyBorder="1" applyAlignment="1">
      <alignment/>
    </xf>
    <xf numFmtId="169" fontId="14" fillId="0" borderId="24" xfId="17" applyNumberFormat="1" applyFont="1" applyFill="1" applyBorder="1" applyAlignment="1">
      <alignment/>
    </xf>
    <xf numFmtId="0" fontId="3" fillId="0" borderId="87" xfId="0" applyFont="1" applyFill="1" applyBorder="1" applyAlignment="1">
      <alignment/>
    </xf>
    <xf numFmtId="0" fontId="3" fillId="0" borderId="94" xfId="0" applyFont="1" applyFill="1" applyBorder="1" applyAlignment="1">
      <alignment/>
    </xf>
    <xf numFmtId="6" fontId="3" fillId="0" borderId="54" xfId="0" applyNumberFormat="1" applyFont="1" applyFill="1" applyBorder="1" applyAlignment="1">
      <alignment/>
    </xf>
    <xf numFmtId="6" fontId="3" fillId="0" borderId="22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6" fontId="3" fillId="0" borderId="98" xfId="0" applyNumberFormat="1" applyFont="1" applyFill="1" applyBorder="1" applyAlignment="1">
      <alignment/>
    </xf>
    <xf numFmtId="6" fontId="3" fillId="0" borderId="55" xfId="0" applyNumberFormat="1" applyFont="1" applyFill="1" applyBorder="1" applyAlignment="1">
      <alignment/>
    </xf>
    <xf numFmtId="0" fontId="3" fillId="0" borderId="71" xfId="0" applyFont="1" applyFill="1" applyBorder="1" applyAlignment="1">
      <alignment/>
    </xf>
    <xf numFmtId="9" fontId="3" fillId="0" borderId="6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/>
    </xf>
    <xf numFmtId="169" fontId="14" fillId="0" borderId="21" xfId="0" applyNumberFormat="1" applyFont="1" applyBorder="1" applyAlignment="1">
      <alignment/>
    </xf>
    <xf numFmtId="169" fontId="14" fillId="0" borderId="21" xfId="0" applyNumberFormat="1" applyFont="1" applyFill="1" applyBorder="1" applyAlignment="1">
      <alignment/>
    </xf>
    <xf numFmtId="169" fontId="14" fillId="0" borderId="21" xfId="0" applyNumberFormat="1" applyFont="1" applyFill="1" applyBorder="1" applyAlignment="1">
      <alignment wrapText="1"/>
    </xf>
    <xf numFmtId="49" fontId="14" fillId="0" borderId="21" xfId="0" applyNumberFormat="1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 wrapText="1"/>
    </xf>
    <xf numFmtId="9" fontId="3" fillId="0" borderId="21" xfId="0" applyNumberFormat="1" applyFont="1" applyBorder="1" applyAlignment="1">
      <alignment wrapText="1"/>
    </xf>
    <xf numFmtId="0" fontId="3" fillId="0" borderId="49" xfId="0" applyFont="1" applyFill="1" applyBorder="1" applyAlignment="1">
      <alignment wrapText="1"/>
    </xf>
    <xf numFmtId="169" fontId="14" fillId="0" borderId="49" xfId="0" applyNumberFormat="1" applyFont="1" applyBorder="1" applyAlignment="1">
      <alignment/>
    </xf>
    <xf numFmtId="169" fontId="3" fillId="0" borderId="49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14" fillId="0" borderId="6" xfId="0" applyFont="1" applyBorder="1" applyAlignment="1">
      <alignment horizontal="center"/>
    </xf>
    <xf numFmtId="0" fontId="14" fillId="0" borderId="78" xfId="0" applyFont="1" applyBorder="1" applyAlignment="1">
      <alignment/>
    </xf>
    <xf numFmtId="169" fontId="14" fillId="0" borderId="49" xfId="0" applyNumberFormat="1" applyFont="1" applyFill="1" applyBorder="1" applyAlignment="1">
      <alignment wrapText="1"/>
    </xf>
    <xf numFmtId="0" fontId="3" fillId="0" borderId="49" xfId="0" applyFont="1" applyFill="1" applyBorder="1" applyAlignment="1">
      <alignment/>
    </xf>
    <xf numFmtId="0" fontId="14" fillId="0" borderId="49" xfId="0" applyFont="1" applyFill="1" applyBorder="1" applyAlignment="1">
      <alignment/>
    </xf>
    <xf numFmtId="49" fontId="14" fillId="0" borderId="49" xfId="0" applyNumberFormat="1" applyFont="1" applyFill="1" applyBorder="1" applyAlignment="1">
      <alignment horizontal="center" wrapText="1"/>
    </xf>
    <xf numFmtId="0" fontId="14" fillId="0" borderId="49" xfId="0" applyFont="1" applyFill="1" applyBorder="1" applyAlignment="1">
      <alignment horizontal="center" wrapText="1"/>
    </xf>
    <xf numFmtId="0" fontId="6" fillId="0" borderId="7" xfId="0" applyFont="1" applyBorder="1" applyAlignment="1">
      <alignment/>
    </xf>
    <xf numFmtId="6" fontId="3" fillId="0" borderId="3" xfId="0" applyNumberFormat="1" applyFont="1" applyFill="1" applyBorder="1" applyAlignment="1">
      <alignment/>
    </xf>
    <xf numFmtId="169" fontId="6" fillId="0" borderId="99" xfId="17" applyNumberFormat="1" applyFont="1" applyFill="1" applyBorder="1" applyAlignment="1">
      <alignment/>
    </xf>
    <xf numFmtId="0" fontId="3" fillId="0" borderId="76" xfId="0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169" fontId="3" fillId="0" borderId="24" xfId="17" applyNumberFormat="1" applyFont="1" applyFill="1" applyBorder="1" applyAlignment="1">
      <alignment/>
    </xf>
    <xf numFmtId="6" fontId="3" fillId="0" borderId="100" xfId="0" applyNumberFormat="1" applyFont="1" applyFill="1" applyBorder="1" applyAlignment="1">
      <alignment/>
    </xf>
    <xf numFmtId="0" fontId="6" fillId="0" borderId="23" xfId="0" applyFont="1" applyBorder="1" applyAlignment="1">
      <alignment wrapText="1"/>
    </xf>
    <xf numFmtId="0" fontId="3" fillId="0" borderId="47" xfId="0" applyFont="1" applyBorder="1" applyAlignment="1">
      <alignment/>
    </xf>
    <xf numFmtId="6" fontId="3" fillId="0" borderId="21" xfId="0" applyNumberFormat="1" applyFont="1" applyBorder="1" applyAlignment="1">
      <alignment wrapText="1"/>
    </xf>
    <xf numFmtId="0" fontId="3" fillId="0" borderId="65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64" xfId="0" applyFont="1" applyBorder="1" applyAlignment="1">
      <alignment/>
    </xf>
    <xf numFmtId="6" fontId="3" fillId="0" borderId="21" xfId="0" applyNumberFormat="1" applyFont="1" applyBorder="1" applyAlignment="1">
      <alignment wrapText="1"/>
    </xf>
    <xf numFmtId="6" fontId="3" fillId="0" borderId="21" xfId="0" applyNumberFormat="1" applyFont="1" applyFill="1" applyBorder="1" applyAlignment="1">
      <alignment wrapText="1"/>
    </xf>
    <xf numFmtId="6" fontId="3" fillId="0" borderId="53" xfId="0" applyNumberFormat="1" applyFont="1" applyFill="1" applyBorder="1" applyAlignment="1">
      <alignment/>
    </xf>
    <xf numFmtId="169" fontId="3" fillId="0" borderId="53" xfId="0" applyNumberFormat="1" applyFont="1" applyFill="1" applyBorder="1" applyAlignment="1">
      <alignment/>
    </xf>
    <xf numFmtId="9" fontId="3" fillId="0" borderId="55" xfId="23" applyFont="1" applyFill="1" applyBorder="1" applyAlignment="1">
      <alignment/>
    </xf>
    <xf numFmtId="169" fontId="3" fillId="0" borderId="100" xfId="0" applyNumberFormat="1" applyFont="1" applyFill="1" applyBorder="1" applyAlignment="1">
      <alignment/>
    </xf>
    <xf numFmtId="6" fontId="3" fillId="0" borderId="100" xfId="0" applyNumberFormat="1" applyFont="1" applyBorder="1" applyAlignment="1">
      <alignment/>
    </xf>
    <xf numFmtId="6" fontId="3" fillId="0" borderId="10" xfId="0" applyNumberFormat="1" applyFont="1" applyFill="1" applyBorder="1" applyAlignment="1">
      <alignment/>
    </xf>
    <xf numFmtId="6" fontId="6" fillId="0" borderId="22" xfId="0" applyNumberFormat="1" applyFont="1" applyFill="1" applyBorder="1" applyAlignment="1">
      <alignment/>
    </xf>
    <xf numFmtId="169" fontId="3" fillId="0" borderId="18" xfId="0" applyNumberFormat="1" applyFont="1" applyFill="1" applyBorder="1" applyAlignment="1">
      <alignment/>
    </xf>
    <xf numFmtId="0" fontId="6" fillId="0" borderId="47" xfId="0" applyFont="1" applyBorder="1" applyAlignment="1">
      <alignment wrapText="1"/>
    </xf>
    <xf numFmtId="6" fontId="3" fillId="0" borderId="98" xfId="0" applyNumberFormat="1" applyFont="1" applyBorder="1" applyAlignment="1">
      <alignment/>
    </xf>
    <xf numFmtId="6" fontId="3" fillId="0" borderId="82" xfId="0" applyNumberFormat="1" applyFont="1" applyFill="1" applyBorder="1" applyAlignment="1">
      <alignment/>
    </xf>
    <xf numFmtId="6" fontId="3" fillId="0" borderId="78" xfId="0" applyNumberFormat="1" applyFont="1" applyFill="1" applyBorder="1" applyAlignment="1">
      <alignment/>
    </xf>
    <xf numFmtId="169" fontId="3" fillId="0" borderId="20" xfId="0" applyNumberFormat="1" applyFont="1" applyFill="1" applyBorder="1" applyAlignment="1">
      <alignment/>
    </xf>
    <xf numFmtId="9" fontId="3" fillId="0" borderId="27" xfId="0" applyNumberFormat="1" applyFont="1" applyFill="1" applyBorder="1" applyAlignment="1">
      <alignment/>
    </xf>
    <xf numFmtId="9" fontId="3" fillId="0" borderId="27" xfId="0" applyNumberFormat="1" applyFont="1" applyBorder="1" applyAlignment="1">
      <alignment/>
    </xf>
    <xf numFmtId="9" fontId="3" fillId="0" borderId="7" xfId="23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101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10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03" xfId="0" applyFont="1" applyBorder="1" applyAlignment="1">
      <alignment horizontal="center"/>
    </xf>
    <xf numFmtId="0" fontId="6" fillId="0" borderId="101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04" xfId="0" applyFont="1" applyFill="1" applyBorder="1" applyAlignment="1">
      <alignment wrapText="1"/>
    </xf>
    <xf numFmtId="0" fontId="6" fillId="0" borderId="105" xfId="0" applyFont="1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6" fillId="0" borderId="104" xfId="0" applyFont="1" applyFill="1" applyBorder="1" applyAlignment="1">
      <alignment horizontal="center" wrapText="1"/>
    </xf>
    <xf numFmtId="0" fontId="6" fillId="0" borderId="105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36" xfId="0" applyFont="1" applyFill="1" applyBorder="1" applyAlignment="1">
      <alignment horizontal="center" wrapText="1"/>
    </xf>
    <xf numFmtId="0" fontId="0" fillId="0" borderId="36" xfId="0" applyFont="1" applyFill="1" applyBorder="1" applyAlignment="1">
      <alignment horizontal="center" wrapText="1"/>
    </xf>
    <xf numFmtId="0" fontId="6" fillId="0" borderId="106" xfId="0" applyFont="1" applyFill="1" applyBorder="1" applyAlignment="1">
      <alignment horizontal="center" wrapText="1"/>
    </xf>
    <xf numFmtId="0" fontId="0" fillId="0" borderId="107" xfId="0" applyFont="1" applyFill="1" applyBorder="1" applyAlignment="1">
      <alignment horizontal="center" wrapText="1"/>
    </xf>
    <xf numFmtId="0" fontId="0" fillId="0" borderId="97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47" xfId="0" applyFont="1" applyFill="1" applyBorder="1" applyAlignment="1">
      <alignment wrapText="1"/>
    </xf>
    <xf numFmtId="0" fontId="6" fillId="0" borderId="23" xfId="0" applyFont="1" applyFill="1" applyBorder="1" applyAlignment="1">
      <alignment wrapText="1"/>
    </xf>
    <xf numFmtId="49" fontId="12" fillId="0" borderId="0" xfId="22" applyNumberFormat="1" applyFont="1" applyFill="1" applyAlignment="1">
      <alignment horizontal="center"/>
      <protection/>
    </xf>
    <xf numFmtId="0" fontId="13" fillId="0" borderId="0" xfId="22" applyFont="1" applyFill="1" applyAlignment="1">
      <alignment horizontal="center"/>
      <protection/>
    </xf>
    <xf numFmtId="0" fontId="13" fillId="0" borderId="1" xfId="22" applyFont="1" applyFill="1" applyBorder="1" applyAlignment="1">
      <alignment horizontal="center" vertical="center"/>
      <protection/>
    </xf>
    <xf numFmtId="0" fontId="13" fillId="0" borderId="5" xfId="22" applyFont="1" applyFill="1" applyBorder="1" applyAlignment="1">
      <alignment horizontal="center" vertical="center"/>
      <protection/>
    </xf>
    <xf numFmtId="0" fontId="13" fillId="0" borderId="108" xfId="22" applyFont="1" applyFill="1" applyBorder="1" applyAlignment="1">
      <alignment horizontal="center"/>
      <protection/>
    </xf>
    <xf numFmtId="0" fontId="13" fillId="0" borderId="109" xfId="22" applyFont="1" applyFill="1" applyBorder="1" applyAlignment="1">
      <alignment horizontal="center"/>
      <protection/>
    </xf>
    <xf numFmtId="0" fontId="13" fillId="0" borderId="110" xfId="22" applyFont="1" applyFill="1" applyBorder="1" applyAlignment="1">
      <alignment horizontal="center" vertical="center"/>
      <protection/>
    </xf>
    <xf numFmtId="0" fontId="13" fillId="0" borderId="111" xfId="22" applyFont="1" applyFill="1" applyBorder="1" applyAlignment="1">
      <alignment horizontal="center" vertical="center"/>
      <protection/>
    </xf>
    <xf numFmtId="0" fontId="13" fillId="0" borderId="112" xfId="22" applyFont="1" applyFill="1" applyBorder="1" applyAlignment="1">
      <alignment horizontal="center" vertical="center"/>
      <protection/>
    </xf>
    <xf numFmtId="0" fontId="13" fillId="0" borderId="113" xfId="22" applyFont="1" applyFill="1" applyBorder="1" applyAlignment="1">
      <alignment horizontal="center"/>
      <protection/>
    </xf>
    <xf numFmtId="0" fontId="13" fillId="0" borderId="114" xfId="22" applyFont="1" applyFill="1" applyBorder="1" applyAlignment="1">
      <alignment horizontal="center"/>
      <protection/>
    </xf>
    <xf numFmtId="0" fontId="13" fillId="0" borderId="115" xfId="22" applyFont="1" applyFill="1" applyBorder="1" applyAlignment="1">
      <alignment horizontal="center"/>
      <protection/>
    </xf>
    <xf numFmtId="0" fontId="13" fillId="0" borderId="58" xfId="22" applyFont="1" applyFill="1" applyBorder="1" applyAlignment="1">
      <alignment horizontal="center"/>
      <protection/>
    </xf>
    <xf numFmtId="0" fontId="0" fillId="0" borderId="36" xfId="0" applyBorder="1" applyAlignment="1">
      <alignment/>
    </xf>
    <xf numFmtId="0" fontId="0" fillId="0" borderId="97" xfId="0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Hyperlink_Ft Knox Tailings Disposal Closure Calc (2 Feb 03)" xfId="21"/>
    <cellStyle name="Normal_Ft Knox Tailings Disposal Closure Calc (2 Feb 03)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=@npv(L8,K9)" TargetMode="External" /><Relationship Id="rId2" Type="http://schemas.openxmlformats.org/officeDocument/2006/relationships/hyperlink" Target="mailto:=@npv(L8,K9)" TargetMode="External" /><Relationship Id="rId3" Type="http://schemas.openxmlformats.org/officeDocument/2006/relationships/hyperlink" Target="mailto:=@npv(L8,K9)" TargetMode="External" /><Relationship Id="rId4" Type="http://schemas.openxmlformats.org/officeDocument/2006/relationships/hyperlink" Target="mailto:=@npv(L8,K9)" TargetMode="Externa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=@npv(L8,K9)" TargetMode="External" /><Relationship Id="rId2" Type="http://schemas.openxmlformats.org/officeDocument/2006/relationships/hyperlink" Target="mailto:=@npv(L8,K9)" TargetMode="External" /><Relationship Id="rId3" Type="http://schemas.openxmlformats.org/officeDocument/2006/relationships/hyperlink" Target="mailto:=@npv(L8,K9)" TargetMode="External" /><Relationship Id="rId4" Type="http://schemas.openxmlformats.org/officeDocument/2006/relationships/hyperlink" Target="mailto:=@npv(L8,K9)" TargetMode="Externa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=@npv(L8,K9)" TargetMode="External" /><Relationship Id="rId2" Type="http://schemas.openxmlformats.org/officeDocument/2006/relationships/hyperlink" Target="mailto:=@npv(L8,K9)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=@npv(L8,K9)" TargetMode="External" /><Relationship Id="rId2" Type="http://schemas.openxmlformats.org/officeDocument/2006/relationships/hyperlink" Target="mailto:=@npv(L8,K9)" TargetMode="Externa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=@npv(L8,K9)" TargetMode="External" /><Relationship Id="rId2" Type="http://schemas.openxmlformats.org/officeDocument/2006/relationships/hyperlink" Target="mailto:=@npv(L8,K9)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478"/>
  <sheetViews>
    <sheetView zoomScale="85" zoomScaleNormal="85" zoomScaleSheetLayoutView="25" workbookViewId="0" topLeftCell="A1">
      <pane xSplit="7" ySplit="6" topLeftCell="S36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3" sqref="A3"/>
    </sheetView>
  </sheetViews>
  <sheetFormatPr defaultColWidth="9.140625" defaultRowHeight="12.75"/>
  <cols>
    <col min="1" max="1" width="9.421875" style="230" customWidth="1"/>
    <col min="2" max="2" width="7.57421875" style="230" customWidth="1"/>
    <col min="3" max="5" width="9.140625" style="230" customWidth="1"/>
    <col min="6" max="6" width="10.8515625" style="230" customWidth="1"/>
    <col min="7" max="7" width="4.7109375" style="230" customWidth="1"/>
    <col min="8" max="9" width="12.28125" style="230" customWidth="1"/>
    <col min="10" max="10" width="11.28125" style="230" customWidth="1"/>
    <col min="11" max="11" width="14.421875" style="230" customWidth="1"/>
    <col min="12" max="12" width="5.421875" style="230" customWidth="1"/>
    <col min="13" max="13" width="10.57421875" style="330" customWidth="1"/>
    <col min="14" max="14" width="10.8515625" style="331" bestFit="1" customWidth="1"/>
    <col min="15" max="15" width="10.7109375" style="331" bestFit="1" customWidth="1"/>
    <col min="16" max="16" width="5.140625" style="234" customWidth="1"/>
    <col min="17" max="17" width="10.57421875" style="234" customWidth="1"/>
    <col min="18" max="18" width="10.28125" style="327" customWidth="1"/>
    <col min="19" max="19" width="17.140625" style="234" bestFit="1" customWidth="1"/>
    <col min="20" max="20" width="5.421875" style="234" customWidth="1"/>
    <col min="21" max="21" width="10.57421875" style="234" customWidth="1"/>
    <col min="22" max="22" width="12.28125" style="234" customWidth="1"/>
    <col min="23" max="23" width="17.00390625" style="234" bestFit="1" customWidth="1"/>
    <col min="24" max="24" width="5.421875" style="234" customWidth="1"/>
    <col min="25" max="25" width="10.57421875" style="234" customWidth="1"/>
    <col min="26" max="26" width="12.28125" style="234" customWidth="1"/>
    <col min="27" max="27" width="17.57421875" style="234" bestFit="1" customWidth="1"/>
    <col min="28" max="28" width="5.421875" style="234" customWidth="1"/>
    <col min="29" max="29" width="10.57421875" style="234" customWidth="1"/>
    <col min="30" max="30" width="12.28125" style="234" customWidth="1"/>
    <col min="31" max="31" width="17.57421875" style="234" bestFit="1" customWidth="1"/>
    <col min="32" max="99" width="9.140625" style="234" customWidth="1"/>
    <col min="100" max="16384" width="9.140625" style="230" customWidth="1"/>
  </cols>
  <sheetData>
    <row r="1" spans="1:31" ht="12">
      <c r="A1" s="106" t="s">
        <v>137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208"/>
      <c r="N1" s="213"/>
      <c r="O1" s="214"/>
      <c r="P1" s="134"/>
      <c r="Q1" s="134"/>
      <c r="R1" s="170"/>
      <c r="S1" s="86"/>
      <c r="T1" s="326"/>
      <c r="U1" s="326"/>
      <c r="V1" s="326"/>
      <c r="W1" s="328"/>
      <c r="X1" s="326"/>
      <c r="Y1" s="326"/>
      <c r="Z1" s="326"/>
      <c r="AA1" s="328"/>
      <c r="AB1" s="326"/>
      <c r="AC1" s="326"/>
      <c r="AD1" s="326"/>
      <c r="AE1" s="328"/>
    </row>
    <row r="2" spans="1:31" ht="12">
      <c r="A2" s="7" t="s">
        <v>156</v>
      </c>
      <c r="B2" s="7"/>
      <c r="C2" s="7"/>
      <c r="D2" s="7"/>
      <c r="E2" s="7"/>
      <c r="F2" s="7"/>
      <c r="G2" s="15"/>
      <c r="H2" s="15"/>
      <c r="I2" s="15"/>
      <c r="J2" s="15"/>
      <c r="K2" s="15"/>
      <c r="L2" s="15"/>
      <c r="M2" s="209"/>
      <c r="N2" s="215"/>
      <c r="O2" s="216"/>
      <c r="P2" s="86"/>
      <c r="Q2" s="86"/>
      <c r="R2" s="170"/>
      <c r="S2" s="86"/>
      <c r="T2" s="86"/>
      <c r="U2" s="86"/>
      <c r="V2" s="86"/>
      <c r="W2" s="444"/>
      <c r="AA2" s="332"/>
      <c r="AE2" s="332"/>
    </row>
    <row r="3" spans="1:31" ht="1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209"/>
      <c r="N3" s="215"/>
      <c r="O3" s="214"/>
      <c r="P3" s="86"/>
      <c r="Q3" s="86"/>
      <c r="R3" s="170"/>
      <c r="S3" s="170"/>
      <c r="T3" s="170"/>
      <c r="U3" s="170"/>
      <c r="V3" s="170"/>
      <c r="W3" s="170"/>
      <c r="AA3" s="333"/>
      <c r="AE3" s="333"/>
    </row>
    <row r="4" spans="1:23" ht="1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209"/>
      <c r="N4" s="215"/>
      <c r="O4" s="215"/>
      <c r="P4" s="86"/>
      <c r="Q4" s="86"/>
      <c r="R4" s="170"/>
      <c r="S4" s="86"/>
      <c r="T4" s="86"/>
      <c r="U4" s="86"/>
      <c r="V4" s="86"/>
      <c r="W4" s="86"/>
    </row>
    <row r="5" spans="1:31" ht="13.5">
      <c r="A5" s="71"/>
      <c r="B5" s="72"/>
      <c r="C5" s="529" t="s">
        <v>0</v>
      </c>
      <c r="D5" s="529"/>
      <c r="E5" s="72"/>
      <c r="F5" s="72"/>
      <c r="G5" s="72"/>
      <c r="H5" s="531" t="s">
        <v>420</v>
      </c>
      <c r="I5" s="532"/>
      <c r="J5" s="532"/>
      <c r="K5" s="532"/>
      <c r="L5" s="532"/>
      <c r="M5" s="532"/>
      <c r="N5" s="532"/>
      <c r="O5" s="532"/>
      <c r="P5" s="526" t="s">
        <v>493</v>
      </c>
      <c r="Q5" s="527"/>
      <c r="R5" s="527"/>
      <c r="S5" s="528"/>
      <c r="T5" s="527" t="s">
        <v>500</v>
      </c>
      <c r="U5" s="527"/>
      <c r="V5" s="527"/>
      <c r="W5" s="528"/>
      <c r="X5" s="526" t="s">
        <v>510</v>
      </c>
      <c r="Y5" s="527"/>
      <c r="Z5" s="527"/>
      <c r="AA5" s="528"/>
      <c r="AB5" s="526" t="s">
        <v>499</v>
      </c>
      <c r="AC5" s="527"/>
      <c r="AD5" s="527"/>
      <c r="AE5" s="528"/>
    </row>
    <row r="6" spans="1:31" ht="12">
      <c r="A6" s="8" t="s">
        <v>1</v>
      </c>
      <c r="B6" s="9"/>
      <c r="C6" s="530"/>
      <c r="D6" s="530"/>
      <c r="E6" s="9"/>
      <c r="F6" s="9"/>
      <c r="G6" s="9"/>
      <c r="H6" s="297" t="s">
        <v>66</v>
      </c>
      <c r="I6" s="298" t="s">
        <v>3</v>
      </c>
      <c r="J6" s="298" t="s">
        <v>4</v>
      </c>
      <c r="K6" s="299" t="s">
        <v>5</v>
      </c>
      <c r="L6" s="27" t="s">
        <v>6</v>
      </c>
      <c r="M6" s="210" t="s">
        <v>7</v>
      </c>
      <c r="N6" s="217" t="s">
        <v>8</v>
      </c>
      <c r="O6" s="268" t="s">
        <v>5</v>
      </c>
      <c r="P6" s="205" t="s">
        <v>6</v>
      </c>
      <c r="Q6" s="171" t="s">
        <v>7</v>
      </c>
      <c r="R6" s="172" t="s">
        <v>8</v>
      </c>
      <c r="S6" s="173" t="s">
        <v>5</v>
      </c>
      <c r="T6" s="442" t="s">
        <v>6</v>
      </c>
      <c r="U6" s="443" t="s">
        <v>7</v>
      </c>
      <c r="V6" s="443" t="s">
        <v>8</v>
      </c>
      <c r="W6" s="173" t="s">
        <v>5</v>
      </c>
      <c r="X6" s="205" t="s">
        <v>6</v>
      </c>
      <c r="Y6" s="443" t="s">
        <v>7</v>
      </c>
      <c r="Z6" s="443" t="s">
        <v>8</v>
      </c>
      <c r="AA6" s="173" t="s">
        <v>5</v>
      </c>
      <c r="AB6" s="205" t="s">
        <v>6</v>
      </c>
      <c r="AC6" s="443" t="s">
        <v>7</v>
      </c>
      <c r="AD6" s="443" t="s">
        <v>8</v>
      </c>
      <c r="AE6" s="173" t="s">
        <v>5</v>
      </c>
    </row>
    <row r="7" spans="1:31" ht="12">
      <c r="A7" s="73"/>
      <c r="B7" s="15"/>
      <c r="C7" s="15"/>
      <c r="D7" s="15"/>
      <c r="E7" s="15"/>
      <c r="F7" s="15"/>
      <c r="G7" s="15"/>
      <c r="H7" s="300"/>
      <c r="I7" s="76"/>
      <c r="J7" s="261"/>
      <c r="K7" s="301"/>
      <c r="L7" s="124"/>
      <c r="M7" s="211"/>
      <c r="N7" s="261"/>
      <c r="O7" s="31"/>
      <c r="P7" s="274"/>
      <c r="Q7" s="174"/>
      <c r="R7" s="175"/>
      <c r="S7" s="176"/>
      <c r="T7" s="140"/>
      <c r="U7" s="97"/>
      <c r="V7" s="97"/>
      <c r="W7" s="89"/>
      <c r="X7" s="231"/>
      <c r="Y7" s="235"/>
      <c r="Z7" s="235"/>
      <c r="AA7" s="336"/>
      <c r="AB7" s="231"/>
      <c r="AC7" s="235"/>
      <c r="AD7" s="235"/>
      <c r="AE7" s="336"/>
    </row>
    <row r="8" spans="1:31" ht="12">
      <c r="A8" s="74">
        <v>1</v>
      </c>
      <c r="B8" s="7" t="s">
        <v>130</v>
      </c>
      <c r="C8" s="7"/>
      <c r="D8" s="7"/>
      <c r="E8" s="15"/>
      <c r="F8" s="15"/>
      <c r="G8" s="15"/>
      <c r="H8" s="300"/>
      <c r="I8" s="76"/>
      <c r="J8" s="76"/>
      <c r="K8" s="302"/>
      <c r="L8" s="124"/>
      <c r="M8" s="53"/>
      <c r="N8" s="76"/>
      <c r="O8" s="31"/>
      <c r="P8" s="107"/>
      <c r="Q8" s="178"/>
      <c r="R8" s="138"/>
      <c r="S8" s="89"/>
      <c r="T8" s="140"/>
      <c r="U8" s="178"/>
      <c r="V8" s="141"/>
      <c r="W8" s="89"/>
      <c r="X8" s="140"/>
      <c r="Y8" s="178"/>
      <c r="Z8" s="141"/>
      <c r="AA8" s="89"/>
      <c r="AB8" s="140"/>
      <c r="AC8" s="178"/>
      <c r="AD8" s="141"/>
      <c r="AE8" s="89"/>
    </row>
    <row r="9" spans="1:31" ht="12">
      <c r="A9" s="74"/>
      <c r="B9" s="15" t="s">
        <v>179</v>
      </c>
      <c r="C9" s="15"/>
      <c r="D9" s="7"/>
      <c r="E9" s="15"/>
      <c r="F9" s="15"/>
      <c r="G9" s="15"/>
      <c r="H9" s="300"/>
      <c r="I9" s="76"/>
      <c r="J9" s="76"/>
      <c r="K9" s="302"/>
      <c r="L9" s="124"/>
      <c r="M9" s="53"/>
      <c r="N9" s="76"/>
      <c r="O9" s="31"/>
      <c r="P9" s="107"/>
      <c r="Q9" s="178"/>
      <c r="R9" s="138"/>
      <c r="S9" s="139"/>
      <c r="T9" s="140"/>
      <c r="U9" s="178"/>
      <c r="V9" s="138"/>
      <c r="W9" s="139"/>
      <c r="X9" s="140"/>
      <c r="Y9" s="178"/>
      <c r="Z9" s="138"/>
      <c r="AA9" s="139"/>
      <c r="AB9" s="140"/>
      <c r="AC9" s="178"/>
      <c r="AD9" s="138"/>
      <c r="AE9" s="139"/>
    </row>
    <row r="10" spans="1:31" ht="12">
      <c r="A10" s="74" t="s">
        <v>114</v>
      </c>
      <c r="B10" s="15"/>
      <c r="C10" s="15" t="s">
        <v>214</v>
      </c>
      <c r="D10" s="7"/>
      <c r="E10" s="15"/>
      <c r="F10" s="15"/>
      <c r="G10" s="15"/>
      <c r="H10" s="300"/>
      <c r="I10" s="76"/>
      <c r="J10" s="76"/>
      <c r="K10" s="302">
        <v>50000</v>
      </c>
      <c r="L10" s="124" t="s">
        <v>140</v>
      </c>
      <c r="M10" s="53">
        <v>10000</v>
      </c>
      <c r="N10" s="95">
        <f>O10/M10</f>
        <v>5</v>
      </c>
      <c r="O10" s="31">
        <f aca="true" t="shared" si="0" ref="O10:O15">K10</f>
        <v>50000</v>
      </c>
      <c r="P10" s="78" t="s">
        <v>140</v>
      </c>
      <c r="Q10" s="53">
        <v>10000</v>
      </c>
      <c r="R10" s="95">
        <f>S10/Q10</f>
        <v>5</v>
      </c>
      <c r="S10" s="51">
        <f aca="true" t="shared" si="1" ref="S10:S15">O10</f>
        <v>50000</v>
      </c>
      <c r="T10" s="107" t="s">
        <v>140</v>
      </c>
      <c r="U10" s="178">
        <v>10000</v>
      </c>
      <c r="V10" s="188">
        <f>W10/U10</f>
        <v>5</v>
      </c>
      <c r="W10" s="516">
        <f aca="true" t="shared" si="2" ref="W10:W15">S10</f>
        <v>50000</v>
      </c>
      <c r="X10" s="107" t="s">
        <v>140</v>
      </c>
      <c r="Y10" s="178">
        <v>10000</v>
      </c>
      <c r="Z10" s="188">
        <f>AA10/Y10</f>
        <v>5</v>
      </c>
      <c r="AA10" s="516">
        <f aca="true" t="shared" si="3" ref="AA10:AA15">W10</f>
        <v>50000</v>
      </c>
      <c r="AB10" s="107" t="s">
        <v>140</v>
      </c>
      <c r="AC10" s="178">
        <v>10000</v>
      </c>
      <c r="AD10" s="188">
        <f>AE10/AC10</f>
        <v>5</v>
      </c>
      <c r="AE10" s="516">
        <f aca="true" t="shared" si="4" ref="AE10:AE15">AA10</f>
        <v>50000</v>
      </c>
    </row>
    <row r="11" spans="1:31" ht="12">
      <c r="A11" s="74" t="s">
        <v>132</v>
      </c>
      <c r="B11" s="15"/>
      <c r="C11" s="15" t="s">
        <v>215</v>
      </c>
      <c r="D11" s="7"/>
      <c r="E11" s="15"/>
      <c r="F11" s="15"/>
      <c r="G11" s="15"/>
      <c r="H11" s="300"/>
      <c r="I11" s="76"/>
      <c r="J11" s="76"/>
      <c r="K11" s="302">
        <v>7500</v>
      </c>
      <c r="L11" s="124" t="s">
        <v>140</v>
      </c>
      <c r="M11" s="53">
        <v>250</v>
      </c>
      <c r="N11" s="95">
        <f>O11/M11</f>
        <v>30</v>
      </c>
      <c r="O11" s="31">
        <f t="shared" si="0"/>
        <v>7500</v>
      </c>
      <c r="P11" s="78" t="s">
        <v>140</v>
      </c>
      <c r="Q11" s="53">
        <v>250</v>
      </c>
      <c r="R11" s="95">
        <f>S11/Q11</f>
        <v>30</v>
      </c>
      <c r="S11" s="51">
        <f t="shared" si="1"/>
        <v>7500</v>
      </c>
      <c r="T11" s="107" t="s">
        <v>140</v>
      </c>
      <c r="U11" s="178">
        <v>250</v>
      </c>
      <c r="V11" s="188">
        <f>W11/U11</f>
        <v>30</v>
      </c>
      <c r="W11" s="516">
        <f t="shared" si="2"/>
        <v>7500</v>
      </c>
      <c r="X11" s="107" t="s">
        <v>140</v>
      </c>
      <c r="Y11" s="178">
        <v>250</v>
      </c>
      <c r="Z11" s="188">
        <f>AA11/Y11</f>
        <v>30</v>
      </c>
      <c r="AA11" s="516">
        <f t="shared" si="3"/>
        <v>7500</v>
      </c>
      <c r="AB11" s="107" t="s">
        <v>140</v>
      </c>
      <c r="AC11" s="178">
        <v>250</v>
      </c>
      <c r="AD11" s="188">
        <f>AE11/AC11</f>
        <v>30</v>
      </c>
      <c r="AE11" s="516">
        <f t="shared" si="4"/>
        <v>7500</v>
      </c>
    </row>
    <row r="12" spans="1:31" ht="12">
      <c r="A12" s="74" t="s">
        <v>133</v>
      </c>
      <c r="B12" s="15"/>
      <c r="C12" s="15" t="s">
        <v>216</v>
      </c>
      <c r="D12" s="7"/>
      <c r="E12" s="15"/>
      <c r="F12" s="15"/>
      <c r="G12" s="15"/>
      <c r="H12" s="300">
        <v>27000</v>
      </c>
      <c r="I12" s="76">
        <v>23000</v>
      </c>
      <c r="J12" s="76"/>
      <c r="K12" s="302">
        <f>H12+I12+J12</f>
        <v>50000</v>
      </c>
      <c r="L12" s="124" t="s">
        <v>139</v>
      </c>
      <c r="M12" s="53">
        <v>1</v>
      </c>
      <c r="N12" s="95"/>
      <c r="O12" s="31">
        <f t="shared" si="0"/>
        <v>50000</v>
      </c>
      <c r="P12" s="78" t="s">
        <v>139</v>
      </c>
      <c r="Q12" s="53">
        <v>1</v>
      </c>
      <c r="R12" s="95"/>
      <c r="S12" s="51">
        <f t="shared" si="1"/>
        <v>50000</v>
      </c>
      <c r="T12" s="107" t="s">
        <v>139</v>
      </c>
      <c r="U12" s="178">
        <v>1</v>
      </c>
      <c r="V12" s="188"/>
      <c r="W12" s="516">
        <f t="shared" si="2"/>
        <v>50000</v>
      </c>
      <c r="X12" s="107" t="s">
        <v>139</v>
      </c>
      <c r="Y12" s="178">
        <v>1</v>
      </c>
      <c r="Z12" s="188"/>
      <c r="AA12" s="516">
        <f t="shared" si="3"/>
        <v>50000</v>
      </c>
      <c r="AB12" s="107" t="s">
        <v>139</v>
      </c>
      <c r="AC12" s="178">
        <v>1</v>
      </c>
      <c r="AD12" s="188"/>
      <c r="AE12" s="516">
        <f t="shared" si="4"/>
        <v>50000</v>
      </c>
    </row>
    <row r="13" spans="1:31" ht="12">
      <c r="A13" s="74" t="s">
        <v>145</v>
      </c>
      <c r="B13" s="15"/>
      <c r="C13" s="15" t="s">
        <v>217</v>
      </c>
      <c r="D13" s="7"/>
      <c r="E13" s="15"/>
      <c r="F13" s="15"/>
      <c r="G13" s="15"/>
      <c r="H13" s="300">
        <v>96000</v>
      </c>
      <c r="I13" s="76">
        <v>21000</v>
      </c>
      <c r="J13" s="76"/>
      <c r="K13" s="302">
        <f>H13+I13+J13</f>
        <v>117000</v>
      </c>
      <c r="L13" s="124" t="s">
        <v>139</v>
      </c>
      <c r="M13" s="53">
        <v>1</v>
      </c>
      <c r="N13" s="95"/>
      <c r="O13" s="31">
        <f t="shared" si="0"/>
        <v>117000</v>
      </c>
      <c r="P13" s="78" t="s">
        <v>139</v>
      </c>
      <c r="Q13" s="53">
        <v>1</v>
      </c>
      <c r="R13" s="95"/>
      <c r="S13" s="51">
        <f t="shared" si="1"/>
        <v>117000</v>
      </c>
      <c r="T13" s="107" t="s">
        <v>139</v>
      </c>
      <c r="U13" s="178">
        <v>1</v>
      </c>
      <c r="V13" s="188"/>
      <c r="W13" s="516">
        <f t="shared" si="2"/>
        <v>117000</v>
      </c>
      <c r="X13" s="107" t="s">
        <v>139</v>
      </c>
      <c r="Y13" s="178">
        <v>1</v>
      </c>
      <c r="Z13" s="188"/>
      <c r="AA13" s="516">
        <f t="shared" si="3"/>
        <v>117000</v>
      </c>
      <c r="AB13" s="107" t="s">
        <v>139</v>
      </c>
      <c r="AC13" s="178">
        <v>1</v>
      </c>
      <c r="AD13" s="188"/>
      <c r="AE13" s="516">
        <f t="shared" si="4"/>
        <v>117000</v>
      </c>
    </row>
    <row r="14" spans="1:31" ht="12">
      <c r="A14" s="74" t="s">
        <v>146</v>
      </c>
      <c r="B14" s="15"/>
      <c r="C14" s="15" t="s">
        <v>218</v>
      </c>
      <c r="D14" s="7"/>
      <c r="E14" s="15"/>
      <c r="F14" s="15"/>
      <c r="G14" s="15"/>
      <c r="H14" s="300">
        <v>22000</v>
      </c>
      <c r="I14" s="76">
        <v>23000</v>
      </c>
      <c r="J14" s="76"/>
      <c r="K14" s="302">
        <f>H14+I14+J14</f>
        <v>45000</v>
      </c>
      <c r="L14" s="124" t="s">
        <v>139</v>
      </c>
      <c r="M14" s="53">
        <v>1</v>
      </c>
      <c r="N14" s="95"/>
      <c r="O14" s="31">
        <f t="shared" si="0"/>
        <v>45000</v>
      </c>
      <c r="P14" s="78" t="s">
        <v>139</v>
      </c>
      <c r="Q14" s="53">
        <v>1</v>
      </c>
      <c r="R14" s="95"/>
      <c r="S14" s="51">
        <f t="shared" si="1"/>
        <v>45000</v>
      </c>
      <c r="T14" s="107" t="s">
        <v>139</v>
      </c>
      <c r="U14" s="178">
        <v>1</v>
      </c>
      <c r="V14" s="188"/>
      <c r="W14" s="516">
        <f t="shared" si="2"/>
        <v>45000</v>
      </c>
      <c r="X14" s="107" t="s">
        <v>139</v>
      </c>
      <c r="Y14" s="178">
        <v>1</v>
      </c>
      <c r="Z14" s="188"/>
      <c r="AA14" s="516">
        <f t="shared" si="3"/>
        <v>45000</v>
      </c>
      <c r="AB14" s="107" t="s">
        <v>139</v>
      </c>
      <c r="AC14" s="178">
        <v>1</v>
      </c>
      <c r="AD14" s="188"/>
      <c r="AE14" s="516">
        <f t="shared" si="4"/>
        <v>45000</v>
      </c>
    </row>
    <row r="15" spans="1:31" ht="12">
      <c r="A15" s="74" t="s">
        <v>147</v>
      </c>
      <c r="B15" s="15"/>
      <c r="C15" s="15" t="s">
        <v>219</v>
      </c>
      <c r="D15" s="7"/>
      <c r="E15" s="15"/>
      <c r="F15" s="15"/>
      <c r="G15" s="15"/>
      <c r="H15" s="300">
        <v>12000</v>
      </c>
      <c r="I15" s="76">
        <v>13000</v>
      </c>
      <c r="J15" s="76"/>
      <c r="K15" s="302">
        <f>H15+I15+J15</f>
        <v>25000</v>
      </c>
      <c r="L15" s="124" t="s">
        <v>139</v>
      </c>
      <c r="M15" s="53">
        <v>1</v>
      </c>
      <c r="N15" s="95"/>
      <c r="O15" s="31">
        <f t="shared" si="0"/>
        <v>25000</v>
      </c>
      <c r="P15" s="78" t="s">
        <v>139</v>
      </c>
      <c r="Q15" s="53">
        <v>1</v>
      </c>
      <c r="R15" s="95"/>
      <c r="S15" s="51">
        <f t="shared" si="1"/>
        <v>25000</v>
      </c>
      <c r="T15" s="107" t="s">
        <v>139</v>
      </c>
      <c r="U15" s="178">
        <v>1</v>
      </c>
      <c r="V15" s="188"/>
      <c r="W15" s="516">
        <f t="shared" si="2"/>
        <v>25000</v>
      </c>
      <c r="X15" s="107" t="s">
        <v>139</v>
      </c>
      <c r="Y15" s="178">
        <v>1</v>
      </c>
      <c r="Z15" s="188"/>
      <c r="AA15" s="516">
        <f t="shared" si="3"/>
        <v>25000</v>
      </c>
      <c r="AB15" s="107" t="s">
        <v>139</v>
      </c>
      <c r="AC15" s="178">
        <v>1</v>
      </c>
      <c r="AD15" s="188"/>
      <c r="AE15" s="516">
        <f t="shared" si="4"/>
        <v>25000</v>
      </c>
    </row>
    <row r="16" spans="1:31" ht="12">
      <c r="A16" s="74"/>
      <c r="B16" s="15"/>
      <c r="C16" s="15" t="s">
        <v>10</v>
      </c>
      <c r="D16" s="15"/>
      <c r="E16" s="15"/>
      <c r="F16" s="15"/>
      <c r="G16" s="49"/>
      <c r="H16" s="303"/>
      <c r="I16" s="76"/>
      <c r="J16" s="76"/>
      <c r="K16" s="302"/>
      <c r="L16" s="124"/>
      <c r="M16" s="53"/>
      <c r="N16" s="95"/>
      <c r="O16" s="31"/>
      <c r="P16" s="78"/>
      <c r="Q16" s="53"/>
      <c r="R16" s="95"/>
      <c r="S16" s="51"/>
      <c r="T16" s="140"/>
      <c r="U16" s="97"/>
      <c r="V16" s="138"/>
      <c r="W16" s="139"/>
      <c r="X16" s="140"/>
      <c r="Y16" s="97"/>
      <c r="Z16" s="138"/>
      <c r="AA16" s="139"/>
      <c r="AB16" s="140"/>
      <c r="AC16" s="97"/>
      <c r="AD16" s="138"/>
      <c r="AE16" s="139"/>
    </row>
    <row r="17" spans="1:31" ht="12">
      <c r="A17" s="74" t="s">
        <v>220</v>
      </c>
      <c r="B17" s="15"/>
      <c r="C17" s="15"/>
      <c r="D17" s="15" t="s">
        <v>11</v>
      </c>
      <c r="E17" s="15"/>
      <c r="F17" s="15"/>
      <c r="G17" s="15"/>
      <c r="H17" s="300"/>
      <c r="I17" s="76"/>
      <c r="J17" s="76"/>
      <c r="K17" s="302"/>
      <c r="L17" s="124"/>
      <c r="M17" s="53"/>
      <c r="N17" s="95"/>
      <c r="O17" s="31"/>
      <c r="P17" s="78"/>
      <c r="Q17" s="53"/>
      <c r="R17" s="95"/>
      <c r="S17" s="51"/>
      <c r="T17" s="111"/>
      <c r="U17" s="178"/>
      <c r="V17" s="188"/>
      <c r="W17" s="139"/>
      <c r="X17" s="111"/>
      <c r="Y17" s="178"/>
      <c r="Z17" s="188"/>
      <c r="AA17" s="139"/>
      <c r="AB17" s="111"/>
      <c r="AC17" s="178"/>
      <c r="AD17" s="188"/>
      <c r="AE17" s="139"/>
    </row>
    <row r="18" spans="1:31" ht="12">
      <c r="A18" s="74" t="s">
        <v>221</v>
      </c>
      <c r="B18" s="15"/>
      <c r="C18" s="15"/>
      <c r="D18" s="15" t="s">
        <v>12</v>
      </c>
      <c r="E18" s="15"/>
      <c r="F18" s="15"/>
      <c r="G18" s="15"/>
      <c r="H18" s="300"/>
      <c r="I18" s="76"/>
      <c r="J18" s="76"/>
      <c r="K18" s="302"/>
      <c r="L18" s="124"/>
      <c r="M18" s="53"/>
      <c r="N18" s="76"/>
      <c r="O18" s="31"/>
      <c r="P18" s="78"/>
      <c r="Q18" s="53"/>
      <c r="R18" s="76"/>
      <c r="S18" s="51"/>
      <c r="T18" s="111"/>
      <c r="U18" s="178"/>
      <c r="V18" s="138"/>
      <c r="W18" s="139"/>
      <c r="X18" s="111"/>
      <c r="Y18" s="178"/>
      <c r="Z18" s="138"/>
      <c r="AA18" s="139"/>
      <c r="AB18" s="111"/>
      <c r="AC18" s="178"/>
      <c r="AD18" s="138"/>
      <c r="AE18" s="139"/>
    </row>
    <row r="19" spans="1:31" ht="12">
      <c r="A19" s="74" t="s">
        <v>222</v>
      </c>
      <c r="B19" s="15"/>
      <c r="C19" s="15"/>
      <c r="D19" s="15" t="s">
        <v>13</v>
      </c>
      <c r="E19" s="15"/>
      <c r="F19" s="15"/>
      <c r="G19" s="15"/>
      <c r="H19" s="300"/>
      <c r="I19" s="76"/>
      <c r="J19" s="76"/>
      <c r="K19" s="302"/>
      <c r="L19" s="124"/>
      <c r="M19" s="53"/>
      <c r="N19" s="95"/>
      <c r="O19" s="31"/>
      <c r="P19" s="78"/>
      <c r="Q19" s="53"/>
      <c r="R19" s="95"/>
      <c r="S19" s="51"/>
      <c r="T19" s="111"/>
      <c r="U19" s="178"/>
      <c r="V19" s="188"/>
      <c r="W19" s="139"/>
      <c r="X19" s="111"/>
      <c r="Y19" s="178"/>
      <c r="Z19" s="188"/>
      <c r="AA19" s="139"/>
      <c r="AB19" s="111"/>
      <c r="AC19" s="178"/>
      <c r="AD19" s="188"/>
      <c r="AE19" s="139"/>
    </row>
    <row r="20" spans="1:31" ht="12">
      <c r="A20" s="74" t="s">
        <v>223</v>
      </c>
      <c r="B20" s="15"/>
      <c r="C20" s="15"/>
      <c r="D20" s="15" t="s">
        <v>14</v>
      </c>
      <c r="E20" s="15"/>
      <c r="F20" s="15"/>
      <c r="G20" s="15"/>
      <c r="H20" s="300"/>
      <c r="I20" s="76"/>
      <c r="J20" s="76"/>
      <c r="K20" s="302"/>
      <c r="L20" s="124"/>
      <c r="M20" s="53"/>
      <c r="N20" s="95"/>
      <c r="O20" s="31"/>
      <c r="P20" s="78"/>
      <c r="Q20" s="53"/>
      <c r="R20" s="95"/>
      <c r="S20" s="51"/>
      <c r="T20" s="111"/>
      <c r="U20" s="178"/>
      <c r="V20" s="188"/>
      <c r="W20" s="139"/>
      <c r="X20" s="111"/>
      <c r="Y20" s="178"/>
      <c r="Z20" s="188"/>
      <c r="AA20" s="139"/>
      <c r="AB20" s="111"/>
      <c r="AC20" s="178"/>
      <c r="AD20" s="188"/>
      <c r="AE20" s="139"/>
    </row>
    <row r="21" spans="1:31" ht="12">
      <c r="A21" s="74"/>
      <c r="B21" s="15"/>
      <c r="C21" s="15" t="s">
        <v>15</v>
      </c>
      <c r="D21" s="15"/>
      <c r="E21" s="15"/>
      <c r="F21" s="15"/>
      <c r="G21" s="15"/>
      <c r="H21" s="303"/>
      <c r="I21" s="76"/>
      <c r="J21" s="76"/>
      <c r="K21" s="302"/>
      <c r="L21" s="124"/>
      <c r="M21" s="53"/>
      <c r="N21" s="76"/>
      <c r="O21" s="31"/>
      <c r="P21" s="78"/>
      <c r="Q21" s="53"/>
      <c r="R21" s="76"/>
      <c r="S21" s="51"/>
      <c r="T21" s="49"/>
      <c r="U21" s="73"/>
      <c r="V21" s="76"/>
      <c r="W21" s="77"/>
      <c r="X21" s="49"/>
      <c r="Y21" s="73"/>
      <c r="Z21" s="76"/>
      <c r="AA21" s="77"/>
      <c r="AB21" s="49"/>
      <c r="AC21" s="73"/>
      <c r="AD21" s="76"/>
      <c r="AE21" s="77"/>
    </row>
    <row r="22" spans="1:31" ht="12">
      <c r="A22" s="74" t="s">
        <v>224</v>
      </c>
      <c r="B22" s="15"/>
      <c r="C22" s="15"/>
      <c r="D22" s="15" t="s">
        <v>11</v>
      </c>
      <c r="E22" s="15"/>
      <c r="F22" s="15"/>
      <c r="G22" s="15"/>
      <c r="H22" s="300"/>
      <c r="I22" s="76"/>
      <c r="J22" s="76"/>
      <c r="K22" s="302"/>
      <c r="L22" s="124"/>
      <c r="M22" s="53"/>
      <c r="N22" s="76"/>
      <c r="O22" s="31"/>
      <c r="P22" s="78"/>
      <c r="Q22" s="53"/>
      <c r="R22" s="76"/>
      <c r="S22" s="51"/>
      <c r="T22" s="49"/>
      <c r="U22" s="53"/>
      <c r="V22" s="76"/>
      <c r="W22" s="77"/>
      <c r="X22" s="49"/>
      <c r="Y22" s="53"/>
      <c r="Z22" s="76"/>
      <c r="AA22" s="77"/>
      <c r="AB22" s="49"/>
      <c r="AC22" s="53"/>
      <c r="AD22" s="76"/>
      <c r="AE22" s="77"/>
    </row>
    <row r="23" spans="1:31" ht="12">
      <c r="A23" s="74" t="s">
        <v>225</v>
      </c>
      <c r="B23" s="15"/>
      <c r="C23" s="15"/>
      <c r="D23" s="15" t="s">
        <v>12</v>
      </c>
      <c r="E23" s="15"/>
      <c r="F23" s="15"/>
      <c r="G23" s="15"/>
      <c r="H23" s="300"/>
      <c r="I23" s="76"/>
      <c r="J23" s="76"/>
      <c r="K23" s="302"/>
      <c r="L23" s="124"/>
      <c r="M23" s="53"/>
      <c r="N23" s="76"/>
      <c r="O23" s="31"/>
      <c r="P23" s="78"/>
      <c r="Q23" s="53"/>
      <c r="R23" s="76"/>
      <c r="S23" s="51"/>
      <c r="T23" s="445"/>
      <c r="U23" s="103"/>
      <c r="V23" s="76"/>
      <c r="W23" s="77"/>
      <c r="X23" s="445"/>
      <c r="Y23" s="103"/>
      <c r="Z23" s="76"/>
      <c r="AA23" s="77"/>
      <c r="AB23" s="445"/>
      <c r="AC23" s="103"/>
      <c r="AD23" s="76"/>
      <c r="AE23" s="77"/>
    </row>
    <row r="24" spans="1:31" ht="12">
      <c r="A24" s="74" t="s">
        <v>226</v>
      </c>
      <c r="B24" s="15"/>
      <c r="C24" s="15"/>
      <c r="D24" s="15" t="s">
        <v>13</v>
      </c>
      <c r="E24" s="15"/>
      <c r="F24" s="15"/>
      <c r="G24" s="15"/>
      <c r="H24" s="300"/>
      <c r="I24" s="76"/>
      <c r="J24" s="76"/>
      <c r="K24" s="302"/>
      <c r="L24" s="124"/>
      <c r="M24" s="53"/>
      <c r="N24" s="76"/>
      <c r="O24" s="31"/>
      <c r="P24" s="78"/>
      <c r="Q24" s="53"/>
      <c r="R24" s="76"/>
      <c r="S24" s="51"/>
      <c r="T24" s="445"/>
      <c r="U24" s="103"/>
      <c r="V24" s="76"/>
      <c r="W24" s="77"/>
      <c r="X24" s="445"/>
      <c r="Y24" s="103"/>
      <c r="Z24" s="76"/>
      <c r="AA24" s="77"/>
      <c r="AB24" s="445"/>
      <c r="AC24" s="103"/>
      <c r="AD24" s="76"/>
      <c r="AE24" s="77"/>
    </row>
    <row r="25" spans="1:31" ht="12">
      <c r="A25" s="74" t="s">
        <v>227</v>
      </c>
      <c r="B25" s="15"/>
      <c r="C25" s="15"/>
      <c r="D25" s="15" t="s">
        <v>14</v>
      </c>
      <c r="E25" s="15"/>
      <c r="F25" s="15"/>
      <c r="G25" s="15"/>
      <c r="H25" s="300"/>
      <c r="I25" s="76"/>
      <c r="J25" s="76"/>
      <c r="K25" s="302"/>
      <c r="L25" s="124"/>
      <c r="M25" s="53"/>
      <c r="N25" s="76"/>
      <c r="O25" s="31"/>
      <c r="P25" s="78"/>
      <c r="Q25" s="53"/>
      <c r="R25" s="76"/>
      <c r="S25" s="51"/>
      <c r="T25" s="445"/>
      <c r="U25" s="103"/>
      <c r="V25" s="76"/>
      <c r="W25" s="77"/>
      <c r="X25" s="445"/>
      <c r="Y25" s="103"/>
      <c r="Z25" s="76"/>
      <c r="AA25" s="77"/>
      <c r="AB25" s="445"/>
      <c r="AC25" s="103"/>
      <c r="AD25" s="76"/>
      <c r="AE25" s="77"/>
    </row>
    <row r="26" spans="1:31" ht="12">
      <c r="A26" s="74"/>
      <c r="B26" s="15"/>
      <c r="C26" s="15" t="s">
        <v>16</v>
      </c>
      <c r="D26" s="15"/>
      <c r="E26" s="15"/>
      <c r="F26" s="15"/>
      <c r="G26" s="15"/>
      <c r="H26" s="300">
        <f>SUM(H16:H25)</f>
        <v>0</v>
      </c>
      <c r="I26" s="76">
        <f>SUM(I16:I25)</f>
        <v>0</v>
      </c>
      <c r="J26" s="76">
        <f>SUM(J16:J25)</f>
        <v>0</v>
      </c>
      <c r="K26" s="302">
        <f>SUM(K16:K25)</f>
        <v>0</v>
      </c>
      <c r="L26" s="124"/>
      <c r="M26" s="53"/>
      <c r="N26" s="95"/>
      <c r="O26" s="31">
        <f>K26</f>
        <v>0</v>
      </c>
      <c r="P26" s="78"/>
      <c r="Q26" s="53"/>
      <c r="R26" s="95"/>
      <c r="S26" s="51">
        <f>O26</f>
        <v>0</v>
      </c>
      <c r="T26" s="445"/>
      <c r="U26" s="103"/>
      <c r="V26" s="95"/>
      <c r="W26" s="77">
        <f>S26</f>
        <v>0</v>
      </c>
      <c r="X26" s="445"/>
      <c r="Y26" s="103"/>
      <c r="Z26" s="95"/>
      <c r="AA26" s="77">
        <f>W26</f>
        <v>0</v>
      </c>
      <c r="AB26" s="445"/>
      <c r="AC26" s="103"/>
      <c r="AD26" s="95"/>
      <c r="AE26" s="77">
        <f>AA26</f>
        <v>0</v>
      </c>
    </row>
    <row r="27" spans="1:31" ht="12">
      <c r="A27" s="74"/>
      <c r="B27" s="15"/>
      <c r="C27" s="15" t="s">
        <v>10</v>
      </c>
      <c r="D27" s="15"/>
      <c r="E27" s="15"/>
      <c r="F27" s="15"/>
      <c r="G27" s="15"/>
      <c r="H27" s="300"/>
      <c r="I27" s="76"/>
      <c r="J27" s="76"/>
      <c r="K27" s="302"/>
      <c r="L27" s="124"/>
      <c r="M27" s="53"/>
      <c r="N27" s="76"/>
      <c r="O27" s="31"/>
      <c r="P27" s="78"/>
      <c r="Q27" s="53"/>
      <c r="R27" s="76"/>
      <c r="S27" s="51"/>
      <c r="T27" s="445"/>
      <c r="U27" s="103"/>
      <c r="V27" s="76"/>
      <c r="W27" s="77"/>
      <c r="X27" s="445"/>
      <c r="Y27" s="103"/>
      <c r="Z27" s="76"/>
      <c r="AA27" s="77"/>
      <c r="AB27" s="445"/>
      <c r="AC27" s="103"/>
      <c r="AD27" s="76"/>
      <c r="AE27" s="77"/>
    </row>
    <row r="28" spans="1:31" ht="12">
      <c r="A28" s="74" t="s">
        <v>228</v>
      </c>
      <c r="B28" s="15"/>
      <c r="C28" s="15"/>
      <c r="D28" s="15" t="s">
        <v>17</v>
      </c>
      <c r="E28" s="15"/>
      <c r="F28" s="15"/>
      <c r="G28" s="15"/>
      <c r="H28" s="300"/>
      <c r="I28" s="76"/>
      <c r="J28" s="76"/>
      <c r="K28" s="302"/>
      <c r="L28" s="124"/>
      <c r="M28" s="53"/>
      <c r="N28" s="76"/>
      <c r="O28" s="31"/>
      <c r="P28" s="78"/>
      <c r="Q28" s="53"/>
      <c r="R28" s="76"/>
      <c r="S28" s="51"/>
      <c r="T28" s="445"/>
      <c r="U28" s="103"/>
      <c r="V28" s="76"/>
      <c r="W28" s="77"/>
      <c r="X28" s="445"/>
      <c r="Y28" s="103"/>
      <c r="Z28" s="76"/>
      <c r="AA28" s="77"/>
      <c r="AB28" s="445"/>
      <c r="AC28" s="103"/>
      <c r="AD28" s="76"/>
      <c r="AE28" s="77"/>
    </row>
    <row r="29" spans="1:31" ht="12">
      <c r="A29" s="74" t="s">
        <v>229</v>
      </c>
      <c r="B29" s="15"/>
      <c r="C29" s="15"/>
      <c r="D29" s="15" t="s">
        <v>18</v>
      </c>
      <c r="E29" s="15"/>
      <c r="F29" s="15"/>
      <c r="G29" s="15"/>
      <c r="H29" s="300"/>
      <c r="I29" s="76"/>
      <c r="J29" s="76"/>
      <c r="K29" s="302"/>
      <c r="L29" s="124"/>
      <c r="M29" s="53"/>
      <c r="N29" s="76"/>
      <c r="O29" s="31"/>
      <c r="P29" s="78"/>
      <c r="Q29" s="53"/>
      <c r="R29" s="76"/>
      <c r="S29" s="51"/>
      <c r="T29" s="445"/>
      <c r="U29" s="103"/>
      <c r="V29" s="76"/>
      <c r="W29" s="77"/>
      <c r="X29" s="445"/>
      <c r="Y29" s="103"/>
      <c r="Z29" s="76"/>
      <c r="AA29" s="77"/>
      <c r="AB29" s="445"/>
      <c r="AC29" s="103"/>
      <c r="AD29" s="76"/>
      <c r="AE29" s="77"/>
    </row>
    <row r="30" spans="1:31" ht="12">
      <c r="A30" s="74"/>
      <c r="B30" s="15"/>
      <c r="C30" s="15" t="s">
        <v>15</v>
      </c>
      <c r="D30" s="15"/>
      <c r="E30" s="15"/>
      <c r="F30" s="15"/>
      <c r="G30" s="15"/>
      <c r="H30" s="300"/>
      <c r="I30" s="76"/>
      <c r="J30" s="76"/>
      <c r="K30" s="302"/>
      <c r="L30" s="124"/>
      <c r="M30" s="53"/>
      <c r="N30" s="76"/>
      <c r="O30" s="31"/>
      <c r="P30" s="78"/>
      <c r="Q30" s="53"/>
      <c r="R30" s="76"/>
      <c r="S30" s="51"/>
      <c r="T30" s="445"/>
      <c r="U30" s="103"/>
      <c r="V30" s="76"/>
      <c r="W30" s="77"/>
      <c r="X30" s="445"/>
      <c r="Y30" s="103"/>
      <c r="Z30" s="76"/>
      <c r="AA30" s="77"/>
      <c r="AB30" s="445"/>
      <c r="AC30" s="103"/>
      <c r="AD30" s="76"/>
      <c r="AE30" s="77"/>
    </row>
    <row r="31" spans="1:31" ht="12">
      <c r="A31" s="74" t="s">
        <v>230</v>
      </c>
      <c r="B31" s="15"/>
      <c r="C31" s="15"/>
      <c r="D31" s="15" t="s">
        <v>17</v>
      </c>
      <c r="E31" s="15"/>
      <c r="F31" s="15"/>
      <c r="G31" s="15"/>
      <c r="H31" s="300"/>
      <c r="I31" s="76"/>
      <c r="J31" s="76"/>
      <c r="K31" s="302"/>
      <c r="L31" s="124"/>
      <c r="M31" s="53"/>
      <c r="N31" s="76"/>
      <c r="O31" s="31"/>
      <c r="P31" s="78"/>
      <c r="Q31" s="53"/>
      <c r="R31" s="76"/>
      <c r="S31" s="51"/>
      <c r="T31" s="445"/>
      <c r="U31" s="103"/>
      <c r="V31" s="76"/>
      <c r="W31" s="77"/>
      <c r="X31" s="445"/>
      <c r="Y31" s="103"/>
      <c r="Z31" s="76"/>
      <c r="AA31" s="77"/>
      <c r="AB31" s="445"/>
      <c r="AC31" s="103"/>
      <c r="AD31" s="76"/>
      <c r="AE31" s="77"/>
    </row>
    <row r="32" spans="1:31" ht="12">
      <c r="A32" s="74" t="s">
        <v>231</v>
      </c>
      <c r="B32" s="15"/>
      <c r="C32" s="15"/>
      <c r="D32" s="15" t="s">
        <v>19</v>
      </c>
      <c r="E32" s="15"/>
      <c r="F32" s="15"/>
      <c r="G32" s="15"/>
      <c r="H32" s="303"/>
      <c r="I32" s="76"/>
      <c r="J32" s="76"/>
      <c r="K32" s="302"/>
      <c r="L32" s="124"/>
      <c r="M32" s="53"/>
      <c r="N32" s="76"/>
      <c r="O32" s="31"/>
      <c r="P32" s="78"/>
      <c r="Q32" s="53"/>
      <c r="R32" s="76"/>
      <c r="S32" s="51"/>
      <c r="T32" s="445"/>
      <c r="U32" s="103"/>
      <c r="V32" s="76"/>
      <c r="W32" s="77"/>
      <c r="X32" s="445"/>
      <c r="Y32" s="103"/>
      <c r="Z32" s="76"/>
      <c r="AA32" s="77"/>
      <c r="AB32" s="445"/>
      <c r="AC32" s="103"/>
      <c r="AD32" s="76"/>
      <c r="AE32" s="77"/>
    </row>
    <row r="33" spans="1:31" ht="12">
      <c r="A33" s="74"/>
      <c r="B33" s="15"/>
      <c r="C33" s="15" t="s">
        <v>20</v>
      </c>
      <c r="D33" s="15"/>
      <c r="E33" s="15"/>
      <c r="F33" s="15"/>
      <c r="G33" s="15"/>
      <c r="H33" s="300">
        <f>SUM(H27:H32)</f>
        <v>0</v>
      </c>
      <c r="I33" s="76">
        <f>SUM(I27:I32)</f>
        <v>0</v>
      </c>
      <c r="J33" s="76">
        <f>SUM(J27:J32)</f>
        <v>0</v>
      </c>
      <c r="K33" s="302">
        <f>SUM(K27:K32)</f>
        <v>0</v>
      </c>
      <c r="L33" s="124"/>
      <c r="M33" s="53"/>
      <c r="N33" s="76"/>
      <c r="O33" s="31">
        <f>K33</f>
        <v>0</v>
      </c>
      <c r="P33" s="78"/>
      <c r="Q33" s="53"/>
      <c r="R33" s="76"/>
      <c r="S33" s="51">
        <f>O33</f>
        <v>0</v>
      </c>
      <c r="T33" s="445"/>
      <c r="U33" s="103"/>
      <c r="V33" s="76"/>
      <c r="W33" s="77">
        <f>S33</f>
        <v>0</v>
      </c>
      <c r="X33" s="445"/>
      <c r="Y33" s="103"/>
      <c r="Z33" s="76"/>
      <c r="AA33" s="77">
        <f>W33</f>
        <v>0</v>
      </c>
      <c r="AB33" s="445"/>
      <c r="AC33" s="103"/>
      <c r="AD33" s="76"/>
      <c r="AE33" s="77">
        <f>AA33</f>
        <v>0</v>
      </c>
    </row>
    <row r="34" spans="1:31" ht="12">
      <c r="A34" s="74"/>
      <c r="B34" s="15" t="s">
        <v>180</v>
      </c>
      <c r="C34" s="15"/>
      <c r="D34" s="15"/>
      <c r="E34" s="15"/>
      <c r="F34" s="15"/>
      <c r="G34" s="15"/>
      <c r="H34" s="28">
        <f>H12+H10+H11+H13+H14+H15+H26+H33</f>
        <v>157000</v>
      </c>
      <c r="I34" s="76">
        <f>I12+I10+I11+I13+I14+I15+I26+I33</f>
        <v>80000</v>
      </c>
      <c r="J34" s="76">
        <f>J12+J10+J11+J13+J14+J15+J26+J33</f>
        <v>0</v>
      </c>
      <c r="K34" s="26">
        <f>K12+K10+K11+K13+K14+K15+K26+K33</f>
        <v>294500</v>
      </c>
      <c r="L34" s="124" t="s">
        <v>140</v>
      </c>
      <c r="M34" s="53">
        <f>M10+M11</f>
        <v>10250</v>
      </c>
      <c r="N34" s="95"/>
      <c r="O34" s="31">
        <f>O12+O10+O11+O13+O14+O15+O26+O33</f>
        <v>294500</v>
      </c>
      <c r="P34" s="78" t="s">
        <v>140</v>
      </c>
      <c r="Q34" s="53">
        <f>Q10+Q11</f>
        <v>10250</v>
      </c>
      <c r="R34" s="95"/>
      <c r="S34" s="51">
        <f>S12+S10+S11+S13+S14+S15+S26+S33</f>
        <v>294500</v>
      </c>
      <c r="T34" s="49" t="s">
        <v>140</v>
      </c>
      <c r="U34" s="53">
        <f>U10+U11</f>
        <v>10250</v>
      </c>
      <c r="V34" s="95"/>
      <c r="W34" s="77">
        <f>W12+W10+W11+W13+W14+W15+W26+W33</f>
        <v>294500</v>
      </c>
      <c r="X34" s="49" t="s">
        <v>140</v>
      </c>
      <c r="Y34" s="53">
        <f>Y10+Y11</f>
        <v>10250</v>
      </c>
      <c r="Z34" s="95"/>
      <c r="AA34" s="77">
        <f>AA12+AA10+AA11+AA13+AA14+AA15+AA26+AA33</f>
        <v>294500</v>
      </c>
      <c r="AB34" s="49" t="s">
        <v>140</v>
      </c>
      <c r="AC34" s="53">
        <f>AC10+AC11</f>
        <v>10250</v>
      </c>
      <c r="AD34" s="95"/>
      <c r="AE34" s="77">
        <f>AE12+AE10+AE11+AE13+AE14+AE15+AE26+AE33</f>
        <v>294500</v>
      </c>
    </row>
    <row r="35" spans="1:31" ht="12">
      <c r="A35" s="74"/>
      <c r="B35" s="15"/>
      <c r="C35" s="15"/>
      <c r="D35" s="15"/>
      <c r="E35" s="15"/>
      <c r="F35" s="15"/>
      <c r="G35" s="15"/>
      <c r="H35" s="300"/>
      <c r="I35" s="76"/>
      <c r="J35" s="76"/>
      <c r="K35" s="302"/>
      <c r="L35" s="124"/>
      <c r="M35" s="53"/>
      <c r="N35" s="76"/>
      <c r="O35" s="31"/>
      <c r="P35" s="78"/>
      <c r="Q35" s="53"/>
      <c r="R35" s="76"/>
      <c r="S35" s="51"/>
      <c r="T35" s="445"/>
      <c r="U35" s="103"/>
      <c r="V35" s="76"/>
      <c r="W35" s="77"/>
      <c r="X35" s="445"/>
      <c r="Y35" s="103"/>
      <c r="Z35" s="76"/>
      <c r="AA35" s="77"/>
      <c r="AB35" s="445"/>
      <c r="AC35" s="103"/>
      <c r="AD35" s="76"/>
      <c r="AE35" s="77"/>
    </row>
    <row r="36" spans="1:31" ht="12">
      <c r="A36" s="74" t="s">
        <v>232</v>
      </c>
      <c r="B36" s="15" t="s">
        <v>181</v>
      </c>
      <c r="C36" s="15"/>
      <c r="D36" s="15"/>
      <c r="E36" s="15"/>
      <c r="F36" s="15"/>
      <c r="G36" s="15"/>
      <c r="H36" s="300"/>
      <c r="I36" s="76"/>
      <c r="J36" s="76"/>
      <c r="K36" s="302">
        <f>H36+I36+J36</f>
        <v>0</v>
      </c>
      <c r="L36" s="124"/>
      <c r="M36" s="262"/>
      <c r="N36" s="95"/>
      <c r="O36" s="31">
        <f>K36</f>
        <v>0</v>
      </c>
      <c r="P36" s="78"/>
      <c r="Q36" s="262"/>
      <c r="R36" s="95"/>
      <c r="S36" s="51">
        <f>O36</f>
        <v>0</v>
      </c>
      <c r="T36" s="49"/>
      <c r="U36" s="262"/>
      <c r="V36" s="95"/>
      <c r="W36" s="51">
        <f>S36</f>
        <v>0</v>
      </c>
      <c r="X36" s="49"/>
      <c r="Y36" s="262"/>
      <c r="Z36" s="95"/>
      <c r="AA36" s="51">
        <f>W36</f>
        <v>0</v>
      </c>
      <c r="AB36" s="49"/>
      <c r="AC36" s="262"/>
      <c r="AD36" s="95"/>
      <c r="AE36" s="51">
        <f>AA36</f>
        <v>0</v>
      </c>
    </row>
    <row r="37" spans="1:31" ht="12.75" thickBot="1">
      <c r="A37" s="79" t="s">
        <v>233</v>
      </c>
      <c r="B37" s="80" t="s">
        <v>26</v>
      </c>
      <c r="C37" s="80"/>
      <c r="D37" s="80"/>
      <c r="E37" s="80"/>
      <c r="F37" s="80"/>
      <c r="G37" s="80"/>
      <c r="H37" s="305"/>
      <c r="I37" s="218"/>
      <c r="J37" s="218"/>
      <c r="K37" s="306"/>
      <c r="L37" s="254"/>
      <c r="M37" s="263"/>
      <c r="N37" s="218"/>
      <c r="O37" s="81">
        <f>K37</f>
        <v>0</v>
      </c>
      <c r="P37" s="280"/>
      <c r="Q37" s="263"/>
      <c r="R37" s="218"/>
      <c r="S37" s="426">
        <f>O37</f>
        <v>0</v>
      </c>
      <c r="T37" s="446"/>
      <c r="U37" s="183"/>
      <c r="V37" s="190"/>
      <c r="W37" s="220">
        <f>S37</f>
        <v>0</v>
      </c>
      <c r="X37" s="446"/>
      <c r="Y37" s="183"/>
      <c r="Z37" s="190"/>
      <c r="AA37" s="220">
        <f>W37</f>
        <v>0</v>
      </c>
      <c r="AB37" s="446"/>
      <c r="AC37" s="183"/>
      <c r="AD37" s="190"/>
      <c r="AE37" s="220">
        <f>AA37</f>
        <v>0</v>
      </c>
    </row>
    <row r="38" spans="1:31" ht="12.75" thickTop="1">
      <c r="A38" s="225"/>
      <c r="B38" s="82" t="s">
        <v>131</v>
      </c>
      <c r="C38" s="82"/>
      <c r="D38" s="82"/>
      <c r="E38" s="82"/>
      <c r="F38" s="82"/>
      <c r="G38" s="82"/>
      <c r="H38" s="385">
        <f>H10+H11+H12+H13+H14+H15+H26+H33+H36+H37</f>
        <v>157000</v>
      </c>
      <c r="I38" s="282">
        <f>I10+I11+I12+I13+I14+I15+I26+I33+I36+I37</f>
        <v>80000</v>
      </c>
      <c r="J38" s="282">
        <f>J10+J11+J12+J13+J14+J15+J26+J33+J36+J37</f>
        <v>0</v>
      </c>
      <c r="K38" s="390">
        <f>K10+K11+K12+K13+K14+K15+K26+K33+K36+K37</f>
        <v>294500</v>
      </c>
      <c r="L38" s="256" t="s">
        <v>140</v>
      </c>
      <c r="M38" s="264">
        <f>M10+M11</f>
        <v>10250</v>
      </c>
      <c r="N38" s="239">
        <f>O38/M38</f>
        <v>28.73170731707317</v>
      </c>
      <c r="O38" s="92">
        <f>O10+O11+O12+O13+O14+O15+O26+O33+O36+O37</f>
        <v>294500</v>
      </c>
      <c r="P38" s="278" t="s">
        <v>140</v>
      </c>
      <c r="Q38" s="185">
        <f>Q10+Q11</f>
        <v>10250</v>
      </c>
      <c r="R38" s="283">
        <f>S38/Q38</f>
        <v>28.73170731707317</v>
      </c>
      <c r="S38" s="187">
        <f>S10+S11+S12+S13+S14+S15+S26+S33+S36+S37</f>
        <v>294500</v>
      </c>
      <c r="T38" s="447" t="s">
        <v>140</v>
      </c>
      <c r="U38" s="185">
        <f>U10+U11</f>
        <v>10250</v>
      </c>
      <c r="V38" s="283">
        <f>W38/U38</f>
        <v>28.73170731707317</v>
      </c>
      <c r="W38" s="187">
        <f>W10+W11+W12+W13+W14+W15+W26+W33+W36+W37</f>
        <v>294500</v>
      </c>
      <c r="X38" s="447" t="s">
        <v>140</v>
      </c>
      <c r="Y38" s="185">
        <f>Y10+Y11</f>
        <v>10250</v>
      </c>
      <c r="Z38" s="283">
        <f>AA38/Y38</f>
        <v>28.73170731707317</v>
      </c>
      <c r="AA38" s="187">
        <f>AA10+AA11+AA12+AA13+AA14+AA15+AA26+AA33+AA36+AA37</f>
        <v>294500</v>
      </c>
      <c r="AB38" s="447" t="s">
        <v>140</v>
      </c>
      <c r="AC38" s="185">
        <f>AC10+AC11</f>
        <v>10250</v>
      </c>
      <c r="AD38" s="283">
        <f>AE38/AC38</f>
        <v>28.73170731707317</v>
      </c>
      <c r="AE38" s="187">
        <f>AE10+AE11+AE12+AE13+AE14+AE15+AE26+AE33+AE36+AE37</f>
        <v>294500</v>
      </c>
    </row>
    <row r="39" spans="1:31" ht="12">
      <c r="A39" s="74"/>
      <c r="B39" s="86"/>
      <c r="C39" s="49"/>
      <c r="D39" s="49"/>
      <c r="E39" s="49"/>
      <c r="F39" s="49"/>
      <c r="G39" s="49"/>
      <c r="H39" s="394"/>
      <c r="I39" s="261"/>
      <c r="J39" s="261"/>
      <c r="K39" s="301"/>
      <c r="L39" s="124"/>
      <c r="M39" s="53"/>
      <c r="N39" s="76"/>
      <c r="O39" s="31"/>
      <c r="P39" s="107"/>
      <c r="Q39" s="178"/>
      <c r="R39" s="138"/>
      <c r="S39" s="139"/>
      <c r="T39" s="273"/>
      <c r="U39" s="232"/>
      <c r="V39" s="233"/>
      <c r="W39" s="338"/>
      <c r="X39" s="231"/>
      <c r="Y39" s="232"/>
      <c r="Z39" s="233"/>
      <c r="AA39" s="338"/>
      <c r="AB39" s="231"/>
      <c r="AC39" s="232"/>
      <c r="AD39" s="233"/>
      <c r="AE39" s="338"/>
    </row>
    <row r="40" spans="1:31" ht="12">
      <c r="A40" s="85">
        <v>2</v>
      </c>
      <c r="B40" s="33" t="s">
        <v>182</v>
      </c>
      <c r="C40" s="33"/>
      <c r="D40" s="33"/>
      <c r="E40" s="33"/>
      <c r="F40" s="33"/>
      <c r="G40" s="86"/>
      <c r="H40" s="195"/>
      <c r="I40" s="138"/>
      <c r="J40" s="138"/>
      <c r="K40" s="309"/>
      <c r="L40" s="379"/>
      <c r="M40" s="111"/>
      <c r="N40" s="88"/>
      <c r="O40" s="421"/>
      <c r="P40" s="177"/>
      <c r="Q40" s="97"/>
      <c r="R40" s="88"/>
      <c r="S40" s="89"/>
      <c r="T40" s="273"/>
      <c r="U40" s="235"/>
      <c r="V40" s="238"/>
      <c r="W40" s="336"/>
      <c r="X40" s="231"/>
      <c r="Y40" s="235"/>
      <c r="Z40" s="238"/>
      <c r="AA40" s="336"/>
      <c r="AB40" s="231"/>
      <c r="AC40" s="235"/>
      <c r="AD40" s="238"/>
      <c r="AE40" s="336"/>
    </row>
    <row r="41" spans="1:31" ht="12">
      <c r="A41" s="74" t="s">
        <v>21</v>
      </c>
      <c r="B41" s="15" t="s">
        <v>183</v>
      </c>
      <c r="C41" s="15"/>
      <c r="D41" s="7"/>
      <c r="E41" s="7"/>
      <c r="F41" s="7"/>
      <c r="G41" s="15"/>
      <c r="H41" s="300"/>
      <c r="I41" s="76"/>
      <c r="J41" s="76"/>
      <c r="K41" s="302"/>
      <c r="L41" s="30"/>
      <c r="M41" s="49"/>
      <c r="N41" s="84"/>
      <c r="O41" s="271"/>
      <c r="P41" s="177"/>
      <c r="Q41" s="97"/>
      <c r="R41" s="88"/>
      <c r="S41" s="139"/>
      <c r="T41" s="273"/>
      <c r="U41" s="235"/>
      <c r="V41" s="238"/>
      <c r="W41" s="338"/>
      <c r="X41" s="231"/>
      <c r="Y41" s="235"/>
      <c r="Z41" s="238"/>
      <c r="AA41" s="338"/>
      <c r="AB41" s="231"/>
      <c r="AC41" s="235"/>
      <c r="AD41" s="238"/>
      <c r="AE41" s="338"/>
    </row>
    <row r="42" spans="1:31" ht="12">
      <c r="A42" s="74"/>
      <c r="B42" s="15"/>
      <c r="C42" s="15" t="s">
        <v>10</v>
      </c>
      <c r="D42" s="15"/>
      <c r="E42" s="15"/>
      <c r="F42" s="15"/>
      <c r="G42" s="15"/>
      <c r="H42" s="303"/>
      <c r="I42" s="76"/>
      <c r="J42" s="76"/>
      <c r="K42" s="302"/>
      <c r="L42" s="30"/>
      <c r="M42" s="49"/>
      <c r="N42" s="75"/>
      <c r="O42" s="422"/>
      <c r="P42" s="177"/>
      <c r="Q42" s="97"/>
      <c r="R42" s="141"/>
      <c r="S42" s="34"/>
      <c r="T42" s="273"/>
      <c r="U42" s="235"/>
      <c r="V42" s="237"/>
      <c r="W42" s="236"/>
      <c r="X42" s="231"/>
      <c r="Y42" s="235"/>
      <c r="Z42" s="237"/>
      <c r="AA42" s="236"/>
      <c r="AB42" s="231"/>
      <c r="AC42" s="235"/>
      <c r="AD42" s="237"/>
      <c r="AE42" s="236"/>
    </row>
    <row r="43" spans="1:31" ht="12">
      <c r="A43" s="74" t="s">
        <v>49</v>
      </c>
      <c r="B43" s="15"/>
      <c r="C43" s="15"/>
      <c r="D43" s="15" t="s">
        <v>11</v>
      </c>
      <c r="E43" s="15"/>
      <c r="F43" s="15"/>
      <c r="G43" s="15"/>
      <c r="H43" s="300"/>
      <c r="I43" s="76"/>
      <c r="J43" s="76"/>
      <c r="K43" s="302">
        <v>1195.2</v>
      </c>
      <c r="L43" s="30" t="s">
        <v>9</v>
      </c>
      <c r="M43" s="391">
        <v>4.8</v>
      </c>
      <c r="N43" s="76">
        <f>O43/M43</f>
        <v>249.00000000000003</v>
      </c>
      <c r="O43" s="271">
        <f>K43</f>
        <v>1195.2</v>
      </c>
      <c r="P43" s="177" t="s">
        <v>9</v>
      </c>
      <c r="Q43" s="398">
        <v>4.8</v>
      </c>
      <c r="R43" s="138">
        <f>S43/Q43</f>
        <v>249.00000000000003</v>
      </c>
      <c r="S43" s="139">
        <f>O43</f>
        <v>1195.2</v>
      </c>
      <c r="T43" s="177" t="s">
        <v>9</v>
      </c>
      <c r="U43" s="398">
        <v>4.8</v>
      </c>
      <c r="V43" s="138">
        <v>1500</v>
      </c>
      <c r="W43" s="139">
        <f>U43*V43</f>
        <v>7200</v>
      </c>
      <c r="X43" s="177" t="s">
        <v>9</v>
      </c>
      <c r="Y43" s="398">
        <v>4.8</v>
      </c>
      <c r="Z43" s="138">
        <v>1500</v>
      </c>
      <c r="AA43" s="139">
        <f>Y43*Z43</f>
        <v>7200</v>
      </c>
      <c r="AB43" s="177" t="s">
        <v>9</v>
      </c>
      <c r="AC43" s="398">
        <v>4.8</v>
      </c>
      <c r="AD43" s="138">
        <v>1500</v>
      </c>
      <c r="AE43" s="139">
        <f>AC43*AD43</f>
        <v>7200</v>
      </c>
    </row>
    <row r="44" spans="1:31" ht="12">
      <c r="A44" s="74" t="s">
        <v>50</v>
      </c>
      <c r="B44" s="15"/>
      <c r="C44" s="15"/>
      <c r="D44" s="15" t="s">
        <v>12</v>
      </c>
      <c r="E44" s="15"/>
      <c r="F44" s="15"/>
      <c r="G44" s="15"/>
      <c r="H44" s="300"/>
      <c r="I44" s="76"/>
      <c r="J44" s="76"/>
      <c r="K44" s="302">
        <v>3408</v>
      </c>
      <c r="L44" s="30" t="s">
        <v>9</v>
      </c>
      <c r="M44" s="391">
        <v>4.8</v>
      </c>
      <c r="N44" s="76">
        <f>O44/M44</f>
        <v>710</v>
      </c>
      <c r="O44" s="271">
        <f>K44</f>
        <v>3408</v>
      </c>
      <c r="P44" s="177" t="s">
        <v>9</v>
      </c>
      <c r="Q44" s="398">
        <v>4.8</v>
      </c>
      <c r="R44" s="138">
        <f>S44/Q44</f>
        <v>710</v>
      </c>
      <c r="S44" s="139">
        <f>O44</f>
        <v>3408</v>
      </c>
      <c r="T44" s="177" t="s">
        <v>9</v>
      </c>
      <c r="U44" s="398">
        <v>4.8</v>
      </c>
      <c r="V44" s="138">
        <v>710</v>
      </c>
      <c r="W44" s="139">
        <f>U44*V44</f>
        <v>3408</v>
      </c>
      <c r="X44" s="177" t="s">
        <v>9</v>
      </c>
      <c r="Y44" s="398">
        <v>4.8</v>
      </c>
      <c r="Z44" s="138">
        <v>710</v>
      </c>
      <c r="AA44" s="139">
        <f>Y44*Z44</f>
        <v>3408</v>
      </c>
      <c r="AB44" s="177" t="s">
        <v>9</v>
      </c>
      <c r="AC44" s="398">
        <v>4.8</v>
      </c>
      <c r="AD44" s="138">
        <v>710</v>
      </c>
      <c r="AE44" s="139">
        <f>AC44*AD44</f>
        <v>3408</v>
      </c>
    </row>
    <row r="45" spans="1:31" ht="12">
      <c r="A45" s="74" t="s">
        <v>157</v>
      </c>
      <c r="B45" s="15"/>
      <c r="C45" s="15"/>
      <c r="D45" s="15" t="s">
        <v>13</v>
      </c>
      <c r="E45" s="15"/>
      <c r="F45" s="15"/>
      <c r="G45" s="15"/>
      <c r="H45" s="300"/>
      <c r="I45" s="76"/>
      <c r="J45" s="76"/>
      <c r="K45" s="302"/>
      <c r="L45" s="30"/>
      <c r="M45" s="391"/>
      <c r="N45" s="76"/>
      <c r="O45" s="271"/>
      <c r="P45" s="177"/>
      <c r="Q45" s="398"/>
      <c r="R45" s="138"/>
      <c r="S45" s="139"/>
      <c r="T45" s="177"/>
      <c r="U45" s="398"/>
      <c r="V45" s="138"/>
      <c r="W45" s="139"/>
      <c r="X45" s="177"/>
      <c r="Y45" s="398"/>
      <c r="Z45" s="138"/>
      <c r="AA45" s="139"/>
      <c r="AB45" s="177"/>
      <c r="AC45" s="398"/>
      <c r="AD45" s="138"/>
      <c r="AE45" s="139"/>
    </row>
    <row r="46" spans="1:31" ht="12">
      <c r="A46" s="74" t="s">
        <v>158</v>
      </c>
      <c r="B46" s="15"/>
      <c r="C46" s="15"/>
      <c r="D46" s="15" t="s">
        <v>14</v>
      </c>
      <c r="E46" s="15"/>
      <c r="F46" s="15"/>
      <c r="G46" s="15"/>
      <c r="H46" s="300"/>
      <c r="I46" s="76"/>
      <c r="J46" s="76"/>
      <c r="K46" s="302">
        <v>8025.6</v>
      </c>
      <c r="L46" s="30" t="s">
        <v>9</v>
      </c>
      <c r="M46" s="391">
        <v>4.8</v>
      </c>
      <c r="N46" s="76">
        <f>O46/M46</f>
        <v>1672.0000000000002</v>
      </c>
      <c r="O46" s="271">
        <f>K46</f>
        <v>8025.6</v>
      </c>
      <c r="P46" s="177" t="s">
        <v>9</v>
      </c>
      <c r="Q46" s="398">
        <v>4.8</v>
      </c>
      <c r="R46" s="138">
        <f>S46/Q46</f>
        <v>1672.0000000000002</v>
      </c>
      <c r="S46" s="139">
        <f>O46</f>
        <v>8025.6</v>
      </c>
      <c r="T46" s="177" t="s">
        <v>9</v>
      </c>
      <c r="U46" s="398">
        <v>4.8</v>
      </c>
      <c r="V46" s="138">
        <v>1672</v>
      </c>
      <c r="W46" s="139">
        <f>U46*V46</f>
        <v>8025.599999999999</v>
      </c>
      <c r="X46" s="177" t="s">
        <v>9</v>
      </c>
      <c r="Y46" s="398">
        <v>4.8</v>
      </c>
      <c r="Z46" s="138">
        <v>1672</v>
      </c>
      <c r="AA46" s="139">
        <f>Y46*Z46</f>
        <v>8025.599999999999</v>
      </c>
      <c r="AB46" s="177" t="s">
        <v>9</v>
      </c>
      <c r="AC46" s="398">
        <v>4.8</v>
      </c>
      <c r="AD46" s="138">
        <v>1672</v>
      </c>
      <c r="AE46" s="139">
        <f>AC46*AD46</f>
        <v>8025.599999999999</v>
      </c>
    </row>
    <row r="47" spans="1:31" ht="12">
      <c r="A47" s="74"/>
      <c r="B47" s="15"/>
      <c r="C47" s="15" t="s">
        <v>15</v>
      </c>
      <c r="D47" s="15"/>
      <c r="E47" s="15"/>
      <c r="F47" s="15"/>
      <c r="G47" s="15"/>
      <c r="H47" s="300"/>
      <c r="I47" s="76"/>
      <c r="J47" s="76"/>
      <c r="K47" s="302"/>
      <c r="L47" s="30"/>
      <c r="M47" s="103"/>
      <c r="N47" s="76"/>
      <c r="O47" s="271"/>
      <c r="P47" s="177"/>
      <c r="Q47" s="178"/>
      <c r="R47" s="138"/>
      <c r="S47" s="139"/>
      <c r="T47" s="140"/>
      <c r="U47" s="178"/>
      <c r="V47" s="138"/>
      <c r="W47" s="139"/>
      <c r="X47" s="177"/>
      <c r="Y47" s="178"/>
      <c r="Z47" s="138"/>
      <c r="AA47" s="139"/>
      <c r="AB47" s="177"/>
      <c r="AC47" s="178"/>
      <c r="AD47" s="138"/>
      <c r="AE47" s="139"/>
    </row>
    <row r="48" spans="1:31" ht="12">
      <c r="A48" s="74" t="s">
        <v>159</v>
      </c>
      <c r="B48" s="15"/>
      <c r="C48" s="15"/>
      <c r="D48" s="15" t="s">
        <v>11</v>
      </c>
      <c r="E48" s="15"/>
      <c r="F48" s="15"/>
      <c r="G48" s="15"/>
      <c r="H48" s="300"/>
      <c r="I48" s="76"/>
      <c r="J48" s="76"/>
      <c r="K48" s="302"/>
      <c r="L48" s="30"/>
      <c r="M48" s="103"/>
      <c r="N48" s="76"/>
      <c r="O48" s="271"/>
      <c r="P48" s="177"/>
      <c r="Q48" s="178"/>
      <c r="R48" s="138"/>
      <c r="S48" s="139"/>
      <c r="T48" s="140"/>
      <c r="U48" s="178"/>
      <c r="V48" s="138"/>
      <c r="W48" s="139"/>
      <c r="X48" s="177"/>
      <c r="Y48" s="178"/>
      <c r="Z48" s="138"/>
      <c r="AA48" s="139"/>
      <c r="AB48" s="177"/>
      <c r="AC48" s="178"/>
      <c r="AD48" s="138"/>
      <c r="AE48" s="139"/>
    </row>
    <row r="49" spans="1:31" ht="12">
      <c r="A49" s="74" t="s">
        <v>160</v>
      </c>
      <c r="B49" s="15"/>
      <c r="C49" s="15"/>
      <c r="D49" s="15" t="s">
        <v>12</v>
      </c>
      <c r="E49" s="15"/>
      <c r="F49" s="15"/>
      <c r="G49" s="15"/>
      <c r="H49" s="300"/>
      <c r="I49" s="76"/>
      <c r="J49" s="76"/>
      <c r="K49" s="302"/>
      <c r="L49" s="30"/>
      <c r="M49" s="103"/>
      <c r="N49" s="84"/>
      <c r="O49" s="422"/>
      <c r="P49" s="177"/>
      <c r="Q49" s="178"/>
      <c r="R49" s="88"/>
      <c r="S49" s="34"/>
      <c r="T49" s="140"/>
      <c r="U49" s="178"/>
      <c r="V49" s="88"/>
      <c r="W49" s="34"/>
      <c r="X49" s="177"/>
      <c r="Y49" s="178"/>
      <c r="Z49" s="88"/>
      <c r="AA49" s="34"/>
      <c r="AB49" s="177"/>
      <c r="AC49" s="178"/>
      <c r="AD49" s="88"/>
      <c r="AE49" s="34"/>
    </row>
    <row r="50" spans="1:31" ht="12">
      <c r="A50" s="74" t="s">
        <v>161</v>
      </c>
      <c r="B50" s="15"/>
      <c r="C50" s="15"/>
      <c r="D50" s="15" t="s">
        <v>13</v>
      </c>
      <c r="E50" s="15"/>
      <c r="F50" s="15"/>
      <c r="G50" s="15"/>
      <c r="H50" s="300"/>
      <c r="I50" s="76"/>
      <c r="J50" s="76"/>
      <c r="K50" s="302"/>
      <c r="L50" s="30"/>
      <c r="M50" s="103"/>
      <c r="N50" s="75"/>
      <c r="O50" s="422"/>
      <c r="P50" s="177"/>
      <c r="Q50" s="178"/>
      <c r="R50" s="141"/>
      <c r="S50" s="34"/>
      <c r="T50" s="140"/>
      <c r="U50" s="178"/>
      <c r="V50" s="141"/>
      <c r="W50" s="34"/>
      <c r="X50" s="177"/>
      <c r="Y50" s="178"/>
      <c r="Z50" s="141"/>
      <c r="AA50" s="34"/>
      <c r="AB50" s="177"/>
      <c r="AC50" s="178"/>
      <c r="AD50" s="141"/>
      <c r="AE50" s="34"/>
    </row>
    <row r="51" spans="1:31" ht="12">
      <c r="A51" s="74" t="s">
        <v>162</v>
      </c>
      <c r="B51" s="15"/>
      <c r="C51" s="15"/>
      <c r="D51" s="15" t="s">
        <v>14</v>
      </c>
      <c r="E51" s="15"/>
      <c r="F51" s="15"/>
      <c r="G51" s="15"/>
      <c r="H51" s="300"/>
      <c r="I51" s="76"/>
      <c r="J51" s="76"/>
      <c r="K51" s="302"/>
      <c r="L51" s="30"/>
      <c r="M51" s="391"/>
      <c r="N51" s="75"/>
      <c r="O51" s="422"/>
      <c r="P51" s="177"/>
      <c r="Q51" s="398"/>
      <c r="R51" s="141"/>
      <c r="S51" s="34"/>
      <c r="T51" s="140"/>
      <c r="U51" s="178"/>
      <c r="V51" s="141"/>
      <c r="W51" s="34"/>
      <c r="X51" s="177"/>
      <c r="Y51" s="178"/>
      <c r="Z51" s="141"/>
      <c r="AA51" s="34"/>
      <c r="AB51" s="177"/>
      <c r="AC51" s="178"/>
      <c r="AD51" s="141"/>
      <c r="AE51" s="34"/>
    </row>
    <row r="52" spans="1:31" ht="12">
      <c r="A52" s="74"/>
      <c r="B52" s="15"/>
      <c r="C52" s="15" t="s">
        <v>16</v>
      </c>
      <c r="D52" s="15"/>
      <c r="E52" s="15"/>
      <c r="F52" s="15"/>
      <c r="G52" s="15"/>
      <c r="H52" s="300">
        <f>SUM(H43:H51)</f>
        <v>0</v>
      </c>
      <c r="I52" s="76">
        <f>SUM(I43:I51)</f>
        <v>0</v>
      </c>
      <c r="J52" s="76">
        <f>SUM(J43:J51)</f>
        <v>0</v>
      </c>
      <c r="K52" s="302">
        <f>SUM(K43:K51)</f>
        <v>12628.8</v>
      </c>
      <c r="L52" s="30" t="s">
        <v>9</v>
      </c>
      <c r="M52" s="391">
        <f>M43</f>
        <v>4.8</v>
      </c>
      <c r="N52" s="76">
        <f>O52/M52</f>
        <v>2631</v>
      </c>
      <c r="O52" s="271">
        <f>SUM(O43:O51)</f>
        <v>12628.8</v>
      </c>
      <c r="P52" s="177" t="s">
        <v>9</v>
      </c>
      <c r="Q52" s="398">
        <f>Q43</f>
        <v>4.8</v>
      </c>
      <c r="R52" s="138">
        <f>S52/Q52</f>
        <v>2631</v>
      </c>
      <c r="S52" s="139">
        <f>SUM(S43:S51)</f>
        <v>12628.8</v>
      </c>
      <c r="T52" s="140" t="s">
        <v>9</v>
      </c>
      <c r="U52" s="398">
        <f>U43</f>
        <v>4.8</v>
      </c>
      <c r="V52" s="138">
        <f>W52/U52</f>
        <v>3882</v>
      </c>
      <c r="W52" s="139">
        <f>SUM(W43:W51)</f>
        <v>18633.6</v>
      </c>
      <c r="X52" s="177" t="s">
        <v>9</v>
      </c>
      <c r="Y52" s="398">
        <f>Y43</f>
        <v>4.8</v>
      </c>
      <c r="Z52" s="138">
        <f>AA52/Y52</f>
        <v>3882</v>
      </c>
      <c r="AA52" s="139">
        <f>SUM(AA43:AA51)</f>
        <v>18633.6</v>
      </c>
      <c r="AB52" s="177" t="s">
        <v>9</v>
      </c>
      <c r="AC52" s="398">
        <f>AC43</f>
        <v>4.8</v>
      </c>
      <c r="AD52" s="138">
        <f>AE52/AC52</f>
        <v>3882</v>
      </c>
      <c r="AE52" s="139">
        <f>SUM(AE43:AE51)</f>
        <v>18633.6</v>
      </c>
    </row>
    <row r="53" spans="1:31" ht="12">
      <c r="A53" s="74"/>
      <c r="B53" s="15"/>
      <c r="C53" s="15" t="s">
        <v>10</v>
      </c>
      <c r="D53" s="15"/>
      <c r="E53" s="15"/>
      <c r="F53" s="15"/>
      <c r="G53" s="15"/>
      <c r="H53" s="300"/>
      <c r="I53" s="76"/>
      <c r="J53" s="76"/>
      <c r="K53" s="302"/>
      <c r="L53" s="30"/>
      <c r="M53" s="391"/>
      <c r="N53" s="75"/>
      <c r="O53" s="422"/>
      <c r="P53" s="177"/>
      <c r="Q53" s="398"/>
      <c r="R53" s="141"/>
      <c r="S53" s="34"/>
      <c r="T53" s="140"/>
      <c r="U53" s="97"/>
      <c r="V53" s="141"/>
      <c r="W53" s="34"/>
      <c r="X53" s="177"/>
      <c r="Y53" s="97"/>
      <c r="Z53" s="141"/>
      <c r="AA53" s="34"/>
      <c r="AB53" s="177"/>
      <c r="AC53" s="97"/>
      <c r="AD53" s="141"/>
      <c r="AE53" s="34"/>
    </row>
    <row r="54" spans="1:31" ht="12">
      <c r="A54" s="74" t="s">
        <v>163</v>
      </c>
      <c r="B54" s="15"/>
      <c r="C54" s="15"/>
      <c r="D54" s="15" t="s">
        <v>17</v>
      </c>
      <c r="E54" s="15"/>
      <c r="F54" s="15"/>
      <c r="G54" s="15"/>
      <c r="H54" s="300"/>
      <c r="I54" s="76"/>
      <c r="J54" s="76"/>
      <c r="K54" s="302"/>
      <c r="L54" s="30"/>
      <c r="M54" s="391"/>
      <c r="N54" s="84"/>
      <c r="O54" s="422"/>
      <c r="P54" s="177"/>
      <c r="Q54" s="398"/>
      <c r="R54" s="88"/>
      <c r="S54" s="34"/>
      <c r="T54" s="140"/>
      <c r="U54" s="178"/>
      <c r="V54" s="88"/>
      <c r="W54" s="34"/>
      <c r="X54" s="177"/>
      <c r="Y54" s="178"/>
      <c r="Z54" s="88"/>
      <c r="AA54" s="34"/>
      <c r="AB54" s="177"/>
      <c r="AC54" s="178"/>
      <c r="AD54" s="88"/>
      <c r="AE54" s="34"/>
    </row>
    <row r="55" spans="1:31" ht="12">
      <c r="A55" s="74" t="s">
        <v>164</v>
      </c>
      <c r="B55" s="15"/>
      <c r="C55" s="15"/>
      <c r="D55" s="15" t="s">
        <v>18</v>
      </c>
      <c r="E55" s="15"/>
      <c r="F55" s="15"/>
      <c r="G55" s="15"/>
      <c r="H55" s="300"/>
      <c r="I55" s="76"/>
      <c r="J55" s="76"/>
      <c r="K55" s="302">
        <v>2520</v>
      </c>
      <c r="L55" s="30" t="s">
        <v>9</v>
      </c>
      <c r="M55" s="391">
        <v>4.8</v>
      </c>
      <c r="N55" s="76">
        <f>O55/M55</f>
        <v>525</v>
      </c>
      <c r="O55" s="271">
        <f>K55</f>
        <v>2520</v>
      </c>
      <c r="P55" s="177" t="s">
        <v>9</v>
      </c>
      <c r="Q55" s="398">
        <v>4.8</v>
      </c>
      <c r="R55" s="138">
        <f>S55/Q55</f>
        <v>525</v>
      </c>
      <c r="S55" s="139">
        <f>O55</f>
        <v>2520</v>
      </c>
      <c r="T55" s="177" t="s">
        <v>9</v>
      </c>
      <c r="U55" s="398">
        <v>4.8</v>
      </c>
      <c r="V55" s="138">
        <v>1500</v>
      </c>
      <c r="W55" s="139">
        <f>U55*V55</f>
        <v>7200</v>
      </c>
      <c r="X55" s="177" t="s">
        <v>9</v>
      </c>
      <c r="Y55" s="398">
        <v>4.8</v>
      </c>
      <c r="Z55" s="138">
        <v>1500</v>
      </c>
      <c r="AA55" s="139">
        <f>Y55*Z55</f>
        <v>7200</v>
      </c>
      <c r="AB55" s="177" t="s">
        <v>9</v>
      </c>
      <c r="AC55" s="398">
        <v>4.8</v>
      </c>
      <c r="AD55" s="138">
        <v>1500</v>
      </c>
      <c r="AE55" s="139">
        <f>AC55*AD55</f>
        <v>7200</v>
      </c>
    </row>
    <row r="56" spans="1:31" ht="12">
      <c r="A56" s="74"/>
      <c r="B56" s="15"/>
      <c r="C56" s="15" t="s">
        <v>15</v>
      </c>
      <c r="D56" s="15"/>
      <c r="E56" s="15"/>
      <c r="F56" s="15"/>
      <c r="G56" s="15"/>
      <c r="H56" s="300"/>
      <c r="I56" s="76"/>
      <c r="J56" s="76"/>
      <c r="K56" s="302"/>
      <c r="L56" s="30"/>
      <c r="M56" s="391"/>
      <c r="N56" s="84"/>
      <c r="O56" s="422"/>
      <c r="P56" s="177"/>
      <c r="Q56" s="398"/>
      <c r="R56" s="88"/>
      <c r="S56" s="34"/>
      <c r="T56" s="140"/>
      <c r="U56" s="178"/>
      <c r="V56" s="88"/>
      <c r="W56" s="34"/>
      <c r="X56" s="177"/>
      <c r="Y56" s="178"/>
      <c r="Z56" s="88"/>
      <c r="AA56" s="34"/>
      <c r="AB56" s="177"/>
      <c r="AC56" s="178"/>
      <c r="AD56" s="88"/>
      <c r="AE56" s="34"/>
    </row>
    <row r="57" spans="1:31" ht="12">
      <c r="A57" s="74" t="s">
        <v>165</v>
      </c>
      <c r="B57" s="15"/>
      <c r="C57" s="15"/>
      <c r="D57" s="15" t="s">
        <v>17</v>
      </c>
      <c r="E57" s="15"/>
      <c r="F57" s="15"/>
      <c r="G57" s="15"/>
      <c r="H57" s="300"/>
      <c r="I57" s="76"/>
      <c r="J57" s="76"/>
      <c r="K57" s="302"/>
      <c r="L57" s="30"/>
      <c r="M57" s="391"/>
      <c r="N57" s="84"/>
      <c r="O57" s="422"/>
      <c r="P57" s="177"/>
      <c r="Q57" s="398"/>
      <c r="R57" s="88"/>
      <c r="S57" s="34"/>
      <c r="T57" s="140"/>
      <c r="U57" s="178"/>
      <c r="V57" s="88"/>
      <c r="W57" s="34"/>
      <c r="X57" s="177"/>
      <c r="Y57" s="178"/>
      <c r="Z57" s="88"/>
      <c r="AA57" s="34"/>
      <c r="AB57" s="177"/>
      <c r="AC57" s="178"/>
      <c r="AD57" s="88"/>
      <c r="AE57" s="34"/>
    </row>
    <row r="58" spans="1:31" ht="12">
      <c r="A58" s="74" t="s">
        <v>166</v>
      </c>
      <c r="B58" s="15"/>
      <c r="C58" s="15"/>
      <c r="D58" s="15" t="s">
        <v>19</v>
      </c>
      <c r="E58" s="15"/>
      <c r="F58" s="15"/>
      <c r="G58" s="15"/>
      <c r="H58" s="303"/>
      <c r="I58" s="76"/>
      <c r="J58" s="76"/>
      <c r="K58" s="302"/>
      <c r="L58" s="30"/>
      <c r="M58" s="103"/>
      <c r="N58" s="84"/>
      <c r="O58" s="422"/>
      <c r="P58" s="177"/>
      <c r="Q58" s="178"/>
      <c r="R58" s="88"/>
      <c r="S58" s="34"/>
      <c r="T58" s="140"/>
      <c r="U58" s="178"/>
      <c r="V58" s="88"/>
      <c r="W58" s="34"/>
      <c r="X58" s="177"/>
      <c r="Y58" s="178"/>
      <c r="Z58" s="88"/>
      <c r="AA58" s="34"/>
      <c r="AB58" s="177"/>
      <c r="AC58" s="178"/>
      <c r="AD58" s="88"/>
      <c r="AE58" s="34"/>
    </row>
    <row r="59" spans="1:31" ht="12">
      <c r="A59" s="74"/>
      <c r="B59" s="15"/>
      <c r="C59" s="15" t="s">
        <v>20</v>
      </c>
      <c r="D59" s="15"/>
      <c r="E59" s="15"/>
      <c r="F59" s="15"/>
      <c r="G59" s="15"/>
      <c r="H59" s="300">
        <f>SUM(H54:H58)</f>
        <v>0</v>
      </c>
      <c r="I59" s="76">
        <f>SUM(I54:I58)</f>
        <v>0</v>
      </c>
      <c r="J59" s="76">
        <f>SUM(J54:J58)</f>
        <v>0</v>
      </c>
      <c r="K59" s="302">
        <f>SUM(K54:K58)</f>
        <v>2520</v>
      </c>
      <c r="L59" s="30" t="s">
        <v>9</v>
      </c>
      <c r="M59" s="391">
        <f>M55</f>
        <v>4.8</v>
      </c>
      <c r="N59" s="76">
        <f>O59/M59</f>
        <v>525</v>
      </c>
      <c r="O59" s="271">
        <f>SUM(O55:O58)</f>
        <v>2520</v>
      </c>
      <c r="P59" s="177" t="s">
        <v>9</v>
      </c>
      <c r="Q59" s="398">
        <f>Q55</f>
        <v>4.8</v>
      </c>
      <c r="R59" s="138">
        <f>S59/Q59</f>
        <v>525</v>
      </c>
      <c r="S59" s="139">
        <f>SUM(S55:S58)</f>
        <v>2520</v>
      </c>
      <c r="T59" s="177" t="s">
        <v>9</v>
      </c>
      <c r="U59" s="398">
        <f>U55</f>
        <v>4.8</v>
      </c>
      <c r="V59" s="138">
        <f>W59/U59</f>
        <v>1500</v>
      </c>
      <c r="W59" s="139">
        <f>SUM(W55:W58)</f>
        <v>7200</v>
      </c>
      <c r="X59" s="177" t="s">
        <v>9</v>
      </c>
      <c r="Y59" s="398">
        <f>Y55</f>
        <v>4.8</v>
      </c>
      <c r="Z59" s="138">
        <f>AA59/Y59</f>
        <v>1500</v>
      </c>
      <c r="AA59" s="139">
        <f>SUM(AA55:AA58)</f>
        <v>7200</v>
      </c>
      <c r="AB59" s="177" t="s">
        <v>9</v>
      </c>
      <c r="AC59" s="398">
        <f>AC55</f>
        <v>4.8</v>
      </c>
      <c r="AD59" s="138">
        <f>AE59/AC59</f>
        <v>1500</v>
      </c>
      <c r="AE59" s="139">
        <f>SUM(AE55:AE58)</f>
        <v>7200</v>
      </c>
    </row>
    <row r="60" spans="1:31" ht="12">
      <c r="A60" s="74"/>
      <c r="B60" s="15" t="s">
        <v>184</v>
      </c>
      <c r="C60" s="15"/>
      <c r="D60" s="15"/>
      <c r="E60" s="15"/>
      <c r="F60" s="15"/>
      <c r="G60" s="15"/>
      <c r="H60" s="300">
        <f>H52+H59</f>
        <v>0</v>
      </c>
      <c r="I60" s="76">
        <f>I52+I59</f>
        <v>0</v>
      </c>
      <c r="J60" s="76">
        <f>J52+J59</f>
        <v>0</v>
      </c>
      <c r="K60" s="302">
        <f>K52+K59</f>
        <v>15148.8</v>
      </c>
      <c r="L60" s="30" t="s">
        <v>9</v>
      </c>
      <c r="M60" s="391">
        <f>M52</f>
        <v>4.8</v>
      </c>
      <c r="N60" s="76">
        <f>O60/M60</f>
        <v>3156</v>
      </c>
      <c r="O60" s="271">
        <f>O52+O59</f>
        <v>15148.8</v>
      </c>
      <c r="P60" s="177" t="s">
        <v>9</v>
      </c>
      <c r="Q60" s="398">
        <f>Q52</f>
        <v>4.8</v>
      </c>
      <c r="R60" s="138">
        <f>S60/Q60</f>
        <v>3156</v>
      </c>
      <c r="S60" s="139">
        <f>S52+S59</f>
        <v>15148.8</v>
      </c>
      <c r="T60" s="177" t="s">
        <v>9</v>
      </c>
      <c r="U60" s="398">
        <f>U52</f>
        <v>4.8</v>
      </c>
      <c r="V60" s="138">
        <f>W60/U60</f>
        <v>5382</v>
      </c>
      <c r="W60" s="139">
        <f>W52+W59</f>
        <v>25833.6</v>
      </c>
      <c r="X60" s="177" t="s">
        <v>9</v>
      </c>
      <c r="Y60" s="398">
        <f>Y52</f>
        <v>4.8</v>
      </c>
      <c r="Z60" s="138">
        <f>AA60/Y60</f>
        <v>5382</v>
      </c>
      <c r="AA60" s="139">
        <f>AA52+AA59</f>
        <v>25833.6</v>
      </c>
      <c r="AB60" s="177" t="s">
        <v>9</v>
      </c>
      <c r="AC60" s="398">
        <f>AC52</f>
        <v>4.8</v>
      </c>
      <c r="AD60" s="138">
        <f>AE60/AC60</f>
        <v>5382</v>
      </c>
      <c r="AE60" s="139">
        <f>AE52+AE59</f>
        <v>25833.6</v>
      </c>
    </row>
    <row r="61" spans="1:31" ht="12">
      <c r="A61" s="74"/>
      <c r="B61" s="15"/>
      <c r="C61" s="7"/>
      <c r="D61" s="7"/>
      <c r="E61" s="7"/>
      <c r="F61" s="7"/>
      <c r="G61" s="15"/>
      <c r="H61" s="300"/>
      <c r="I61" s="76"/>
      <c r="J61" s="76"/>
      <c r="K61" s="302"/>
      <c r="L61" s="30"/>
      <c r="M61" s="49"/>
      <c r="N61" s="84"/>
      <c r="O61" s="271"/>
      <c r="P61" s="177"/>
      <c r="Q61" s="97"/>
      <c r="R61" s="88"/>
      <c r="S61" s="139"/>
      <c r="T61" s="140"/>
      <c r="U61" s="97"/>
      <c r="V61" s="88"/>
      <c r="W61" s="139"/>
      <c r="X61" s="177"/>
      <c r="Y61" s="97"/>
      <c r="Z61" s="88"/>
      <c r="AA61" s="139"/>
      <c r="AB61" s="177"/>
      <c r="AC61" s="97"/>
      <c r="AD61" s="88"/>
      <c r="AE61" s="139"/>
    </row>
    <row r="62" spans="1:31" ht="12">
      <c r="A62" s="74" t="s">
        <v>22</v>
      </c>
      <c r="B62" s="15" t="s">
        <v>185</v>
      </c>
      <c r="C62" s="15"/>
      <c r="D62" s="7"/>
      <c r="E62" s="7"/>
      <c r="F62" s="7"/>
      <c r="G62" s="15"/>
      <c r="H62" s="52"/>
      <c r="I62" s="76"/>
      <c r="J62" s="76"/>
      <c r="K62" s="302"/>
      <c r="L62" s="30"/>
      <c r="M62" s="49"/>
      <c r="N62" s="84"/>
      <c r="O62" s="271"/>
      <c r="P62" s="177"/>
      <c r="Q62" s="97"/>
      <c r="R62" s="88"/>
      <c r="S62" s="139"/>
      <c r="T62" s="140"/>
      <c r="U62" s="97"/>
      <c r="V62" s="88"/>
      <c r="W62" s="139"/>
      <c r="X62" s="177"/>
      <c r="Y62" s="97"/>
      <c r="Z62" s="88"/>
      <c r="AA62" s="139"/>
      <c r="AB62" s="177"/>
      <c r="AC62" s="97"/>
      <c r="AD62" s="88"/>
      <c r="AE62" s="139"/>
    </row>
    <row r="63" spans="1:31" ht="12">
      <c r="A63" s="74"/>
      <c r="B63" s="15"/>
      <c r="C63" s="15" t="s">
        <v>10</v>
      </c>
      <c r="D63" s="15"/>
      <c r="E63" s="15"/>
      <c r="F63" s="15"/>
      <c r="G63" s="15"/>
      <c r="H63" s="30"/>
      <c r="I63" s="76"/>
      <c r="J63" s="76"/>
      <c r="K63" s="302"/>
      <c r="L63" s="30"/>
      <c r="M63" s="49"/>
      <c r="N63" s="75"/>
      <c r="O63" s="422"/>
      <c r="P63" s="177"/>
      <c r="Q63" s="97"/>
      <c r="R63" s="141"/>
      <c r="S63" s="34"/>
      <c r="T63" s="140"/>
      <c r="U63" s="97"/>
      <c r="V63" s="141"/>
      <c r="W63" s="34"/>
      <c r="X63" s="177"/>
      <c r="Y63" s="97"/>
      <c r="Z63" s="141"/>
      <c r="AA63" s="34"/>
      <c r="AB63" s="177"/>
      <c r="AC63" s="97"/>
      <c r="AD63" s="141"/>
      <c r="AE63" s="34"/>
    </row>
    <row r="64" spans="1:31" ht="12">
      <c r="A64" s="74" t="s">
        <v>167</v>
      </c>
      <c r="B64" s="15"/>
      <c r="C64" s="15"/>
      <c r="D64" s="15" t="s">
        <v>11</v>
      </c>
      <c r="E64" s="15"/>
      <c r="F64" s="15"/>
      <c r="G64" s="15"/>
      <c r="H64" s="300"/>
      <c r="I64" s="76"/>
      <c r="J64" s="76"/>
      <c r="K64" s="302">
        <v>5353.5</v>
      </c>
      <c r="L64" s="30" t="s">
        <v>9</v>
      </c>
      <c r="M64" s="391">
        <v>21.5</v>
      </c>
      <c r="N64" s="76">
        <f>O64/M64</f>
        <v>249</v>
      </c>
      <c r="O64" s="271">
        <f>K64</f>
        <v>5353.5</v>
      </c>
      <c r="P64" s="177" t="s">
        <v>9</v>
      </c>
      <c r="Q64" s="398">
        <v>21.5</v>
      </c>
      <c r="R64" s="138">
        <f>S64/Q64</f>
        <v>249</v>
      </c>
      <c r="S64" s="139">
        <f>O64</f>
        <v>5353.5</v>
      </c>
      <c r="T64" s="177" t="s">
        <v>9</v>
      </c>
      <c r="U64" s="398">
        <v>21.5</v>
      </c>
      <c r="V64" s="138">
        <v>1500</v>
      </c>
      <c r="W64" s="139">
        <f>U64*V64</f>
        <v>32250</v>
      </c>
      <c r="X64" s="177" t="s">
        <v>9</v>
      </c>
      <c r="Y64" s="398">
        <v>21.5</v>
      </c>
      <c r="Z64" s="138">
        <v>1500</v>
      </c>
      <c r="AA64" s="139">
        <f>Y64*Z64</f>
        <v>32250</v>
      </c>
      <c r="AB64" s="177" t="s">
        <v>9</v>
      </c>
      <c r="AC64" s="398">
        <v>21.5</v>
      </c>
      <c r="AD64" s="138">
        <v>1500</v>
      </c>
      <c r="AE64" s="139">
        <f>AC64*AD64</f>
        <v>32250</v>
      </c>
    </row>
    <row r="65" spans="1:31" ht="12">
      <c r="A65" s="74" t="s">
        <v>168</v>
      </c>
      <c r="B65" s="15"/>
      <c r="C65" s="15"/>
      <c r="D65" s="15" t="s">
        <v>12</v>
      </c>
      <c r="E65" s="15"/>
      <c r="F65" s="15"/>
      <c r="G65" s="15"/>
      <c r="H65" s="300"/>
      <c r="I65" s="76"/>
      <c r="J65" s="76"/>
      <c r="K65" s="302">
        <v>15265</v>
      </c>
      <c r="L65" s="30" t="s">
        <v>9</v>
      </c>
      <c r="M65" s="391">
        <v>21.5</v>
      </c>
      <c r="N65" s="76">
        <f>O65/M65</f>
        <v>710</v>
      </c>
      <c r="O65" s="271">
        <f>K65</f>
        <v>15265</v>
      </c>
      <c r="P65" s="177" t="s">
        <v>9</v>
      </c>
      <c r="Q65" s="398">
        <v>21.5</v>
      </c>
      <c r="R65" s="138">
        <f>S65/Q65</f>
        <v>710</v>
      </c>
      <c r="S65" s="139">
        <f>O65</f>
        <v>15265</v>
      </c>
      <c r="T65" s="177" t="s">
        <v>9</v>
      </c>
      <c r="U65" s="398">
        <v>21.5</v>
      </c>
      <c r="V65" s="138">
        <v>710</v>
      </c>
      <c r="W65" s="139">
        <f>U65*V65</f>
        <v>15265</v>
      </c>
      <c r="X65" s="177" t="s">
        <v>9</v>
      </c>
      <c r="Y65" s="398">
        <v>21.5</v>
      </c>
      <c r="Z65" s="138">
        <v>710</v>
      </c>
      <c r="AA65" s="139">
        <f>Y65*Z65</f>
        <v>15265</v>
      </c>
      <c r="AB65" s="177" t="s">
        <v>9</v>
      </c>
      <c r="AC65" s="398">
        <v>21.5</v>
      </c>
      <c r="AD65" s="138">
        <v>710</v>
      </c>
      <c r="AE65" s="139">
        <f>AC65*AD65</f>
        <v>15265</v>
      </c>
    </row>
    <row r="66" spans="1:31" ht="12">
      <c r="A66" s="74" t="s">
        <v>169</v>
      </c>
      <c r="B66" s="15"/>
      <c r="C66" s="15"/>
      <c r="D66" s="15" t="s">
        <v>13</v>
      </c>
      <c r="E66" s="15"/>
      <c r="F66" s="15"/>
      <c r="G66" s="15"/>
      <c r="H66" s="300"/>
      <c r="I66" s="76"/>
      <c r="J66" s="76"/>
      <c r="K66" s="302"/>
      <c r="L66" s="30"/>
      <c r="M66" s="391"/>
      <c r="N66" s="76"/>
      <c r="O66" s="271"/>
      <c r="P66" s="177"/>
      <c r="Q66" s="398"/>
      <c r="R66" s="138"/>
      <c r="S66" s="139"/>
      <c r="T66" s="177"/>
      <c r="U66" s="398"/>
      <c r="V66" s="138"/>
      <c r="W66" s="139"/>
      <c r="X66" s="177"/>
      <c r="Y66" s="398"/>
      <c r="Z66" s="138"/>
      <c r="AA66" s="139"/>
      <c r="AB66" s="177"/>
      <c r="AC66" s="398"/>
      <c r="AD66" s="138"/>
      <c r="AE66" s="139"/>
    </row>
    <row r="67" spans="1:31" ht="12">
      <c r="A67" s="74" t="s">
        <v>170</v>
      </c>
      <c r="B67" s="15"/>
      <c r="C67" s="15"/>
      <c r="D67" s="15" t="s">
        <v>14</v>
      </c>
      <c r="E67" s="15"/>
      <c r="F67" s="15"/>
      <c r="G67" s="15"/>
      <c r="H67" s="300"/>
      <c r="I67" s="76"/>
      <c r="J67" s="76"/>
      <c r="K67" s="302">
        <v>35948</v>
      </c>
      <c r="L67" s="30" t="s">
        <v>9</v>
      </c>
      <c r="M67" s="391">
        <v>21.5</v>
      </c>
      <c r="N67" s="76">
        <f>O67/M67</f>
        <v>1672</v>
      </c>
      <c r="O67" s="271">
        <f>K67</f>
        <v>35948</v>
      </c>
      <c r="P67" s="177" t="s">
        <v>9</v>
      </c>
      <c r="Q67" s="398">
        <v>21.5</v>
      </c>
      <c r="R67" s="138">
        <f>S67/Q67</f>
        <v>1672</v>
      </c>
      <c r="S67" s="139">
        <f>O67</f>
        <v>35948</v>
      </c>
      <c r="T67" s="177" t="s">
        <v>9</v>
      </c>
      <c r="U67" s="398">
        <v>21.5</v>
      </c>
      <c r="V67" s="138">
        <v>1672</v>
      </c>
      <c r="W67" s="139">
        <f>U67*V67</f>
        <v>35948</v>
      </c>
      <c r="X67" s="177" t="s">
        <v>9</v>
      </c>
      <c r="Y67" s="398">
        <v>21.5</v>
      </c>
      <c r="Z67" s="138">
        <v>1672</v>
      </c>
      <c r="AA67" s="139">
        <f>Y67*Z67</f>
        <v>35948</v>
      </c>
      <c r="AB67" s="177" t="s">
        <v>9</v>
      </c>
      <c r="AC67" s="398">
        <v>21.5</v>
      </c>
      <c r="AD67" s="138">
        <v>1672</v>
      </c>
      <c r="AE67" s="139">
        <f>AC67*AD67</f>
        <v>35948</v>
      </c>
    </row>
    <row r="68" spans="1:31" ht="12">
      <c r="A68" s="74"/>
      <c r="B68" s="15"/>
      <c r="C68" s="15" t="s">
        <v>15</v>
      </c>
      <c r="D68" s="15"/>
      <c r="E68" s="15"/>
      <c r="F68" s="15"/>
      <c r="G68" s="15"/>
      <c r="H68" s="300"/>
      <c r="I68" s="76"/>
      <c r="J68" s="76"/>
      <c r="K68" s="302"/>
      <c r="L68" s="30"/>
      <c r="M68" s="103"/>
      <c r="N68" s="76"/>
      <c r="O68" s="271"/>
      <c r="P68" s="177"/>
      <c r="Q68" s="178"/>
      <c r="R68" s="138"/>
      <c r="S68" s="139"/>
      <c r="T68" s="140"/>
      <c r="U68" s="178"/>
      <c r="V68" s="138"/>
      <c r="W68" s="139"/>
      <c r="X68" s="177"/>
      <c r="Y68" s="178"/>
      <c r="Z68" s="138"/>
      <c r="AA68" s="139"/>
      <c r="AB68" s="177"/>
      <c r="AC68" s="178"/>
      <c r="AD68" s="138"/>
      <c r="AE68" s="139"/>
    </row>
    <row r="69" spans="1:31" ht="12">
      <c r="A69" s="74" t="s">
        <v>171</v>
      </c>
      <c r="B69" s="15"/>
      <c r="C69" s="15"/>
      <c r="D69" s="15" t="s">
        <v>11</v>
      </c>
      <c r="E69" s="15"/>
      <c r="F69" s="15"/>
      <c r="G69" s="15"/>
      <c r="H69" s="300"/>
      <c r="I69" s="76"/>
      <c r="J69" s="76"/>
      <c r="K69" s="302"/>
      <c r="L69" s="30"/>
      <c r="M69" s="103"/>
      <c r="N69" s="76"/>
      <c r="O69" s="271"/>
      <c r="P69" s="177"/>
      <c r="Q69" s="178"/>
      <c r="R69" s="138"/>
      <c r="S69" s="139"/>
      <c r="T69" s="140"/>
      <c r="U69" s="178"/>
      <c r="V69" s="138"/>
      <c r="W69" s="139"/>
      <c r="X69" s="177"/>
      <c r="Y69" s="178"/>
      <c r="Z69" s="138"/>
      <c r="AA69" s="139"/>
      <c r="AB69" s="177"/>
      <c r="AC69" s="178"/>
      <c r="AD69" s="138"/>
      <c r="AE69" s="139"/>
    </row>
    <row r="70" spans="1:31" ht="12">
      <c r="A70" s="74" t="s">
        <v>172</v>
      </c>
      <c r="B70" s="15"/>
      <c r="C70" s="15"/>
      <c r="D70" s="15" t="s">
        <v>12</v>
      </c>
      <c r="E70" s="15"/>
      <c r="F70" s="15"/>
      <c r="G70" s="15"/>
      <c r="H70" s="300"/>
      <c r="I70" s="76"/>
      <c r="J70" s="76"/>
      <c r="K70" s="302"/>
      <c r="L70" s="30"/>
      <c r="M70" s="103"/>
      <c r="N70" s="84"/>
      <c r="O70" s="422"/>
      <c r="P70" s="177"/>
      <c r="Q70" s="178"/>
      <c r="R70" s="88"/>
      <c r="S70" s="34"/>
      <c r="T70" s="140"/>
      <c r="U70" s="178"/>
      <c r="V70" s="88"/>
      <c r="W70" s="34"/>
      <c r="X70" s="177"/>
      <c r="Y70" s="178"/>
      <c r="Z70" s="88"/>
      <c r="AA70" s="34"/>
      <c r="AB70" s="177"/>
      <c r="AC70" s="178"/>
      <c r="AD70" s="88"/>
      <c r="AE70" s="34"/>
    </row>
    <row r="71" spans="1:31" ht="12">
      <c r="A71" s="74" t="s">
        <v>173</v>
      </c>
      <c r="B71" s="15"/>
      <c r="C71" s="15"/>
      <c r="D71" s="15" t="s">
        <v>13</v>
      </c>
      <c r="E71" s="15"/>
      <c r="F71" s="15"/>
      <c r="G71" s="15"/>
      <c r="H71" s="300"/>
      <c r="I71" s="76"/>
      <c r="J71" s="76"/>
      <c r="K71" s="302"/>
      <c r="L71" s="30"/>
      <c r="M71" s="103"/>
      <c r="N71" s="75"/>
      <c r="O71" s="422"/>
      <c r="P71" s="177"/>
      <c r="Q71" s="178"/>
      <c r="R71" s="141"/>
      <c r="S71" s="34"/>
      <c r="T71" s="140"/>
      <c r="U71" s="178"/>
      <c r="V71" s="141"/>
      <c r="W71" s="34"/>
      <c r="X71" s="177"/>
      <c r="Y71" s="178"/>
      <c r="Z71" s="141"/>
      <c r="AA71" s="34"/>
      <c r="AB71" s="177"/>
      <c r="AC71" s="178"/>
      <c r="AD71" s="141"/>
      <c r="AE71" s="34"/>
    </row>
    <row r="72" spans="1:31" ht="12">
      <c r="A72" s="74" t="s">
        <v>174</v>
      </c>
      <c r="B72" s="15"/>
      <c r="C72" s="15"/>
      <c r="D72" s="15" t="s">
        <v>14</v>
      </c>
      <c r="E72" s="15"/>
      <c r="F72" s="15"/>
      <c r="G72" s="15"/>
      <c r="H72" s="300"/>
      <c r="I72" s="76"/>
      <c r="J72" s="76"/>
      <c r="K72" s="302"/>
      <c r="L72" s="30"/>
      <c r="M72" s="391"/>
      <c r="N72" s="75"/>
      <c r="O72" s="422"/>
      <c r="P72" s="177"/>
      <c r="Q72" s="398"/>
      <c r="R72" s="141"/>
      <c r="S72" s="34"/>
      <c r="T72" s="140"/>
      <c r="U72" s="178"/>
      <c r="V72" s="141"/>
      <c r="W72" s="34"/>
      <c r="X72" s="177"/>
      <c r="Y72" s="178"/>
      <c r="Z72" s="141"/>
      <c r="AA72" s="34"/>
      <c r="AB72" s="177"/>
      <c r="AC72" s="178"/>
      <c r="AD72" s="141"/>
      <c r="AE72" s="34"/>
    </row>
    <row r="73" spans="1:31" ht="12">
      <c r="A73" s="74"/>
      <c r="B73" s="15"/>
      <c r="C73" s="15" t="s">
        <v>16</v>
      </c>
      <c r="D73" s="15"/>
      <c r="E73" s="15"/>
      <c r="F73" s="15"/>
      <c r="G73" s="15"/>
      <c r="H73" s="300">
        <f>SUM(H64:H72)</f>
        <v>0</v>
      </c>
      <c r="I73" s="76">
        <f>SUM(I64:I72)</f>
        <v>0</v>
      </c>
      <c r="J73" s="76">
        <f>SUM(J64:J72)</f>
        <v>0</v>
      </c>
      <c r="K73" s="302">
        <f>SUM(K64:K72)</f>
        <v>56566.5</v>
      </c>
      <c r="L73" s="30" t="s">
        <v>9</v>
      </c>
      <c r="M73" s="391">
        <f>M64</f>
        <v>21.5</v>
      </c>
      <c r="N73" s="76">
        <f>O73/M73</f>
        <v>2631</v>
      </c>
      <c r="O73" s="271">
        <f>SUM(O64:O72)</f>
        <v>56566.5</v>
      </c>
      <c r="P73" s="177" t="s">
        <v>9</v>
      </c>
      <c r="Q73" s="398">
        <f>Q64</f>
        <v>21.5</v>
      </c>
      <c r="R73" s="138">
        <f>S73/Q73</f>
        <v>2631</v>
      </c>
      <c r="S73" s="139">
        <f>SUM(S64:S72)</f>
        <v>56566.5</v>
      </c>
      <c r="T73" s="140" t="s">
        <v>9</v>
      </c>
      <c r="U73" s="398">
        <f>U64</f>
        <v>21.5</v>
      </c>
      <c r="V73" s="138">
        <f>W73/U73</f>
        <v>3882</v>
      </c>
      <c r="W73" s="139">
        <f>SUM(W64:W72)</f>
        <v>83463</v>
      </c>
      <c r="X73" s="177" t="s">
        <v>9</v>
      </c>
      <c r="Y73" s="398">
        <f>Y64</f>
        <v>21.5</v>
      </c>
      <c r="Z73" s="138">
        <f>AA73/Y73</f>
        <v>3882</v>
      </c>
      <c r="AA73" s="139">
        <f>SUM(AA64:AA72)</f>
        <v>83463</v>
      </c>
      <c r="AB73" s="177" t="s">
        <v>9</v>
      </c>
      <c r="AC73" s="398">
        <f>AC64</f>
        <v>21.5</v>
      </c>
      <c r="AD73" s="138">
        <f>AE73/AC73</f>
        <v>3882</v>
      </c>
      <c r="AE73" s="139">
        <f>SUM(AE64:AE72)</f>
        <v>83463</v>
      </c>
    </row>
    <row r="74" spans="1:31" ht="12">
      <c r="A74" s="74"/>
      <c r="B74" s="15"/>
      <c r="C74" s="15" t="s">
        <v>10</v>
      </c>
      <c r="D74" s="15"/>
      <c r="E74" s="15"/>
      <c r="F74" s="15"/>
      <c r="G74" s="15"/>
      <c r="H74" s="300"/>
      <c r="I74" s="76"/>
      <c r="J74" s="76"/>
      <c r="K74" s="302"/>
      <c r="L74" s="30"/>
      <c r="M74" s="391"/>
      <c r="N74" s="75"/>
      <c r="O74" s="422"/>
      <c r="P74" s="177"/>
      <c r="Q74" s="398"/>
      <c r="R74" s="141"/>
      <c r="S74" s="34"/>
      <c r="T74" s="140"/>
      <c r="U74" s="97"/>
      <c r="V74" s="141"/>
      <c r="W74" s="34"/>
      <c r="X74" s="177"/>
      <c r="Y74" s="97"/>
      <c r="Z74" s="141"/>
      <c r="AA74" s="34"/>
      <c r="AB74" s="177"/>
      <c r="AC74" s="97"/>
      <c r="AD74" s="141"/>
      <c r="AE74" s="34"/>
    </row>
    <row r="75" spans="1:31" ht="12">
      <c r="A75" s="74" t="s">
        <v>175</v>
      </c>
      <c r="B75" s="15"/>
      <c r="C75" s="15"/>
      <c r="D75" s="15" t="s">
        <v>17</v>
      </c>
      <c r="E75" s="15"/>
      <c r="F75" s="15"/>
      <c r="G75" s="15"/>
      <c r="H75" s="300"/>
      <c r="I75" s="76"/>
      <c r="J75" s="76"/>
      <c r="K75" s="302"/>
      <c r="L75" s="30"/>
      <c r="M75" s="391"/>
      <c r="N75" s="84"/>
      <c r="O75" s="422"/>
      <c r="P75" s="177"/>
      <c r="Q75" s="398"/>
      <c r="R75" s="88"/>
      <c r="S75" s="34"/>
      <c r="T75" s="140"/>
      <c r="U75" s="178"/>
      <c r="V75" s="88"/>
      <c r="W75" s="34"/>
      <c r="X75" s="177"/>
      <c r="Y75" s="178"/>
      <c r="Z75" s="88"/>
      <c r="AA75" s="34"/>
      <c r="AB75" s="177"/>
      <c r="AC75" s="178"/>
      <c r="AD75" s="88"/>
      <c r="AE75" s="34"/>
    </row>
    <row r="76" spans="1:31" ht="12">
      <c r="A76" s="74" t="s">
        <v>176</v>
      </c>
      <c r="B76" s="15"/>
      <c r="C76" s="15"/>
      <c r="D76" s="15" t="s">
        <v>18</v>
      </c>
      <c r="E76" s="15"/>
      <c r="F76" s="15"/>
      <c r="G76" s="15"/>
      <c r="H76" s="300"/>
      <c r="I76" s="76"/>
      <c r="J76" s="76"/>
      <c r="K76" s="302">
        <v>11287.5</v>
      </c>
      <c r="L76" s="30" t="s">
        <v>9</v>
      </c>
      <c r="M76" s="391">
        <v>21.5</v>
      </c>
      <c r="N76" s="76">
        <f>O76/M76</f>
        <v>525</v>
      </c>
      <c r="O76" s="271">
        <f>K76</f>
        <v>11287.5</v>
      </c>
      <c r="P76" s="177" t="s">
        <v>9</v>
      </c>
      <c r="Q76" s="398">
        <v>21.5</v>
      </c>
      <c r="R76" s="138">
        <f>S76/Q76</f>
        <v>525</v>
      </c>
      <c r="S76" s="139">
        <f>O76</f>
        <v>11287.5</v>
      </c>
      <c r="T76" s="177" t="s">
        <v>9</v>
      </c>
      <c r="U76" s="398">
        <v>21.5</v>
      </c>
      <c r="V76" s="138">
        <v>1500</v>
      </c>
      <c r="W76" s="139">
        <f>U76*V76</f>
        <v>32250</v>
      </c>
      <c r="X76" s="177" t="s">
        <v>9</v>
      </c>
      <c r="Y76" s="398">
        <v>21.5</v>
      </c>
      <c r="Z76" s="138">
        <v>1500</v>
      </c>
      <c r="AA76" s="139">
        <f>Y76*Z76</f>
        <v>32250</v>
      </c>
      <c r="AB76" s="177" t="s">
        <v>9</v>
      </c>
      <c r="AC76" s="398">
        <v>21.5</v>
      </c>
      <c r="AD76" s="138">
        <v>1500</v>
      </c>
      <c r="AE76" s="139">
        <f>AC76*AD76</f>
        <v>32250</v>
      </c>
    </row>
    <row r="77" spans="1:31" ht="12">
      <c r="A77" s="74"/>
      <c r="B77" s="15"/>
      <c r="C77" s="15" t="s">
        <v>15</v>
      </c>
      <c r="D77" s="15"/>
      <c r="E77" s="15"/>
      <c r="F77" s="15"/>
      <c r="G77" s="15"/>
      <c r="H77" s="300"/>
      <c r="I77" s="76"/>
      <c r="J77" s="76"/>
      <c r="K77" s="302"/>
      <c r="L77" s="30"/>
      <c r="M77" s="391"/>
      <c r="N77" s="84"/>
      <c r="O77" s="422"/>
      <c r="P77" s="177"/>
      <c r="Q77" s="398"/>
      <c r="R77" s="88"/>
      <c r="S77" s="34"/>
      <c r="T77" s="140"/>
      <c r="U77" s="178"/>
      <c r="V77" s="88"/>
      <c r="W77" s="34"/>
      <c r="X77" s="177"/>
      <c r="Y77" s="178"/>
      <c r="Z77" s="88"/>
      <c r="AA77" s="34"/>
      <c r="AB77" s="177"/>
      <c r="AC77" s="178"/>
      <c r="AD77" s="88"/>
      <c r="AE77" s="34"/>
    </row>
    <row r="78" spans="1:31" ht="12">
      <c r="A78" s="74" t="s">
        <v>177</v>
      </c>
      <c r="B78" s="15"/>
      <c r="C78" s="15"/>
      <c r="D78" s="15" t="s">
        <v>17</v>
      </c>
      <c r="E78" s="15"/>
      <c r="F78" s="15"/>
      <c r="G78" s="15"/>
      <c r="H78" s="300"/>
      <c r="I78" s="76"/>
      <c r="J78" s="76"/>
      <c r="K78" s="302"/>
      <c r="L78" s="30"/>
      <c r="M78" s="391"/>
      <c r="N78" s="84"/>
      <c r="O78" s="422"/>
      <c r="P78" s="177"/>
      <c r="Q78" s="398"/>
      <c r="R78" s="88"/>
      <c r="S78" s="34"/>
      <c r="T78" s="140"/>
      <c r="U78" s="178"/>
      <c r="V78" s="88"/>
      <c r="W78" s="34"/>
      <c r="X78" s="177"/>
      <c r="Y78" s="178"/>
      <c r="Z78" s="88"/>
      <c r="AA78" s="34"/>
      <c r="AB78" s="177"/>
      <c r="AC78" s="178"/>
      <c r="AD78" s="88"/>
      <c r="AE78" s="34"/>
    </row>
    <row r="79" spans="1:31" ht="12">
      <c r="A79" s="74" t="s">
        <v>178</v>
      </c>
      <c r="B79" s="15"/>
      <c r="C79" s="15"/>
      <c r="D79" s="15" t="s">
        <v>19</v>
      </c>
      <c r="E79" s="15"/>
      <c r="F79" s="15"/>
      <c r="G79" s="15"/>
      <c r="H79" s="303"/>
      <c r="I79" s="76"/>
      <c r="J79" s="76"/>
      <c r="K79" s="302"/>
      <c r="L79" s="30"/>
      <c r="M79" s="103"/>
      <c r="N79" s="84"/>
      <c r="O79" s="422"/>
      <c r="P79" s="177"/>
      <c r="Q79" s="178"/>
      <c r="R79" s="88"/>
      <c r="S79" s="34"/>
      <c r="T79" s="140"/>
      <c r="U79" s="178"/>
      <c r="V79" s="88"/>
      <c r="W79" s="34"/>
      <c r="X79" s="177"/>
      <c r="Y79" s="178"/>
      <c r="Z79" s="88"/>
      <c r="AA79" s="34"/>
      <c r="AB79" s="177"/>
      <c r="AC79" s="178"/>
      <c r="AD79" s="88"/>
      <c r="AE79" s="34"/>
    </row>
    <row r="80" spans="1:31" ht="12">
      <c r="A80" s="74"/>
      <c r="B80" s="15"/>
      <c r="C80" s="15" t="s">
        <v>20</v>
      </c>
      <c r="D80" s="15"/>
      <c r="E80" s="15"/>
      <c r="F80" s="15"/>
      <c r="G80" s="15"/>
      <c r="H80" s="300">
        <f>SUM(H75:H79)</f>
        <v>0</v>
      </c>
      <c r="I80" s="76">
        <f>SUM(I75:I79)</f>
        <v>0</v>
      </c>
      <c r="J80" s="76">
        <f>SUM(J75:J79)</f>
        <v>0</v>
      </c>
      <c r="K80" s="302">
        <f>SUM(K75:K79)</f>
        <v>11287.5</v>
      </c>
      <c r="L80" s="30" t="s">
        <v>9</v>
      </c>
      <c r="M80" s="391">
        <f>M76</f>
        <v>21.5</v>
      </c>
      <c r="N80" s="76">
        <f>O80/M80</f>
        <v>525</v>
      </c>
      <c r="O80" s="271">
        <f>SUM(O76:O79)</f>
        <v>11287.5</v>
      </c>
      <c r="P80" s="177" t="s">
        <v>9</v>
      </c>
      <c r="Q80" s="398">
        <f>Q76</f>
        <v>21.5</v>
      </c>
      <c r="R80" s="138">
        <f>S80/Q80</f>
        <v>525</v>
      </c>
      <c r="S80" s="139">
        <f>SUM(S76:S79)</f>
        <v>11287.5</v>
      </c>
      <c r="T80" s="140" t="s">
        <v>9</v>
      </c>
      <c r="U80" s="398">
        <f>U76</f>
        <v>21.5</v>
      </c>
      <c r="V80" s="138">
        <f>W80/U80</f>
        <v>1500</v>
      </c>
      <c r="W80" s="139">
        <f>SUM(W76:W79)</f>
        <v>32250</v>
      </c>
      <c r="X80" s="177" t="s">
        <v>9</v>
      </c>
      <c r="Y80" s="398">
        <f>Y76</f>
        <v>21.5</v>
      </c>
      <c r="Z80" s="138">
        <f>AA80/Y80</f>
        <v>1500</v>
      </c>
      <c r="AA80" s="139">
        <f>SUM(AA76:AA79)</f>
        <v>32250</v>
      </c>
      <c r="AB80" s="177" t="s">
        <v>9</v>
      </c>
      <c r="AC80" s="398">
        <f>AC76</f>
        <v>21.5</v>
      </c>
      <c r="AD80" s="138">
        <f>AE80/AC80</f>
        <v>1500</v>
      </c>
      <c r="AE80" s="139">
        <f>SUM(AE76:AE79)</f>
        <v>32250</v>
      </c>
    </row>
    <row r="81" spans="1:31" ht="12">
      <c r="A81" s="74"/>
      <c r="B81" s="15" t="s">
        <v>186</v>
      </c>
      <c r="C81" s="15"/>
      <c r="D81" s="15"/>
      <c r="E81" s="15"/>
      <c r="F81" s="15"/>
      <c r="G81" s="15"/>
      <c r="H81" s="300">
        <f>H73+H80</f>
        <v>0</v>
      </c>
      <c r="I81" s="76">
        <f>I73+I80</f>
        <v>0</v>
      </c>
      <c r="J81" s="76">
        <f>J73+J80</f>
        <v>0</v>
      </c>
      <c r="K81" s="302">
        <f>K73+K80</f>
        <v>67854</v>
      </c>
      <c r="L81" s="30" t="s">
        <v>9</v>
      </c>
      <c r="M81" s="391">
        <f>M73</f>
        <v>21.5</v>
      </c>
      <c r="N81" s="76">
        <f>O81/M81</f>
        <v>3156</v>
      </c>
      <c r="O81" s="271">
        <f>O73+O80</f>
        <v>67854</v>
      </c>
      <c r="P81" s="177" t="s">
        <v>9</v>
      </c>
      <c r="Q81" s="398">
        <f>Q73</f>
        <v>21.5</v>
      </c>
      <c r="R81" s="138">
        <f>S81/Q81</f>
        <v>3156</v>
      </c>
      <c r="S81" s="139">
        <f>S73+S80</f>
        <v>67854</v>
      </c>
      <c r="T81" s="140" t="s">
        <v>9</v>
      </c>
      <c r="U81" s="398">
        <f>U73</f>
        <v>21.5</v>
      </c>
      <c r="V81" s="138">
        <f>W81/U81</f>
        <v>5382</v>
      </c>
      <c r="W81" s="139">
        <f>W73+W80</f>
        <v>115713</v>
      </c>
      <c r="X81" s="177" t="s">
        <v>9</v>
      </c>
      <c r="Y81" s="398">
        <f>Y73</f>
        <v>21.5</v>
      </c>
      <c r="Z81" s="138">
        <f>AA81/Y81</f>
        <v>5382</v>
      </c>
      <c r="AA81" s="139">
        <f>AA73+AA80</f>
        <v>115713</v>
      </c>
      <c r="AB81" s="177" t="s">
        <v>9</v>
      </c>
      <c r="AC81" s="398">
        <f>AC73</f>
        <v>21.5</v>
      </c>
      <c r="AD81" s="138">
        <f>AE81/AC81</f>
        <v>5382</v>
      </c>
      <c r="AE81" s="139">
        <f>AE73+AE80</f>
        <v>115713</v>
      </c>
    </row>
    <row r="82" spans="1:99" s="15" customFormat="1" ht="12.75" thickBot="1">
      <c r="A82" s="79"/>
      <c r="B82" s="80"/>
      <c r="C82" s="80"/>
      <c r="D82" s="80"/>
      <c r="E82" s="80"/>
      <c r="F82" s="80"/>
      <c r="G82" s="80"/>
      <c r="H82" s="392"/>
      <c r="I82" s="76"/>
      <c r="J82" s="76"/>
      <c r="K82" s="306"/>
      <c r="L82" s="380"/>
      <c r="M82" s="381"/>
      <c r="N82" s="382"/>
      <c r="O82" s="423"/>
      <c r="P82" s="179"/>
      <c r="Q82" s="183"/>
      <c r="R82" s="180"/>
      <c r="S82" s="143"/>
      <c r="T82" s="251"/>
      <c r="U82" s="183"/>
      <c r="V82" s="180"/>
      <c r="W82" s="143"/>
      <c r="X82" s="179"/>
      <c r="Y82" s="183"/>
      <c r="Z82" s="180"/>
      <c r="AA82" s="143"/>
      <c r="AB82" s="179"/>
      <c r="AC82" s="183"/>
      <c r="AD82" s="180"/>
      <c r="AE82" s="143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</row>
    <row r="83" spans="1:31" ht="12.75" thickTop="1">
      <c r="A83" s="383"/>
      <c r="B83" s="86" t="s">
        <v>187</v>
      </c>
      <c r="C83" s="384"/>
      <c r="D83" s="91"/>
      <c r="E83" s="82"/>
      <c r="F83" s="82"/>
      <c r="G83" s="82"/>
      <c r="H83" s="395">
        <f>H60+H81</f>
        <v>0</v>
      </c>
      <c r="I83" s="282">
        <f>I60+I81</f>
        <v>0</v>
      </c>
      <c r="J83" s="282">
        <f>J60+J81</f>
        <v>0</v>
      </c>
      <c r="K83" s="308">
        <f>K60+K81</f>
        <v>83002.8</v>
      </c>
      <c r="L83" s="386" t="s">
        <v>9</v>
      </c>
      <c r="M83" s="396">
        <f>M60+M81</f>
        <v>26.3</v>
      </c>
      <c r="N83" s="282">
        <f>O83/M83</f>
        <v>3156</v>
      </c>
      <c r="O83" s="132">
        <f>O60+O81</f>
        <v>83002.8</v>
      </c>
      <c r="P83" s="184" t="s">
        <v>9</v>
      </c>
      <c r="Q83" s="427">
        <f>Q60+Q81</f>
        <v>26.3</v>
      </c>
      <c r="R83" s="186">
        <f>S83/Q83</f>
        <v>3156</v>
      </c>
      <c r="S83" s="187">
        <f>S60+S81</f>
        <v>83002.8</v>
      </c>
      <c r="T83" s="447" t="s">
        <v>9</v>
      </c>
      <c r="U83" s="427">
        <f>U60+U81</f>
        <v>26.3</v>
      </c>
      <c r="V83" s="186">
        <f>W83/U83</f>
        <v>5382</v>
      </c>
      <c r="W83" s="187">
        <f>W60+W81</f>
        <v>141546.6</v>
      </c>
      <c r="X83" s="184" t="s">
        <v>9</v>
      </c>
      <c r="Y83" s="427">
        <f>Y60+Y81</f>
        <v>26.3</v>
      </c>
      <c r="Z83" s="186">
        <f>AA83/Y83</f>
        <v>5382</v>
      </c>
      <c r="AA83" s="187">
        <f>AA60+AA81</f>
        <v>141546.6</v>
      </c>
      <c r="AB83" s="184" t="s">
        <v>9</v>
      </c>
      <c r="AC83" s="427">
        <f>AC60+AC81</f>
        <v>26.3</v>
      </c>
      <c r="AD83" s="186">
        <f>AE83/AC83</f>
        <v>5382</v>
      </c>
      <c r="AE83" s="187">
        <f>AE60+AE81</f>
        <v>141546.6</v>
      </c>
    </row>
    <row r="84" spans="1:99" s="15" customFormat="1" ht="12">
      <c r="A84" s="74"/>
      <c r="B84" s="387"/>
      <c r="C84" s="49"/>
      <c r="D84" s="49"/>
      <c r="E84" s="49"/>
      <c r="F84" s="49"/>
      <c r="G84" s="49"/>
      <c r="H84" s="393"/>
      <c r="I84" s="76"/>
      <c r="J84" s="138"/>
      <c r="K84" s="302"/>
      <c r="L84" s="30"/>
      <c r="M84" s="31"/>
      <c r="N84" s="76"/>
      <c r="O84" s="424"/>
      <c r="P84" s="177"/>
      <c r="Q84" s="138"/>
      <c r="R84" s="138"/>
      <c r="S84" s="139"/>
      <c r="T84" s="140"/>
      <c r="U84" s="138"/>
      <c r="V84" s="138"/>
      <c r="W84" s="388"/>
      <c r="X84" s="177"/>
      <c r="Y84" s="138"/>
      <c r="Z84" s="138"/>
      <c r="AA84" s="388"/>
      <c r="AB84" s="177"/>
      <c r="AC84" s="138"/>
      <c r="AD84" s="138"/>
      <c r="AE84" s="388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</row>
    <row r="85" spans="1:31" ht="12">
      <c r="A85" s="74">
        <v>3</v>
      </c>
      <c r="B85" s="33" t="s">
        <v>142</v>
      </c>
      <c r="C85" s="49"/>
      <c r="D85" s="49"/>
      <c r="E85" s="49"/>
      <c r="F85" s="49"/>
      <c r="G85" s="49"/>
      <c r="H85" s="52"/>
      <c r="I85" s="76"/>
      <c r="J85" s="76"/>
      <c r="K85" s="302"/>
      <c r="L85" s="124"/>
      <c r="M85" s="53"/>
      <c r="N85" s="76"/>
      <c r="O85" s="31"/>
      <c r="P85" s="107"/>
      <c r="Q85" s="178"/>
      <c r="R85" s="138"/>
      <c r="S85" s="139"/>
      <c r="T85" s="140"/>
      <c r="U85" s="178"/>
      <c r="V85" s="138"/>
      <c r="W85" s="139"/>
      <c r="X85" s="177"/>
      <c r="Y85" s="178"/>
      <c r="Z85" s="138"/>
      <c r="AA85" s="139"/>
      <c r="AB85" s="177"/>
      <c r="AC85" s="178"/>
      <c r="AD85" s="138"/>
      <c r="AE85" s="139"/>
    </row>
    <row r="86" spans="1:31" ht="12">
      <c r="A86" s="74"/>
      <c r="B86" s="86"/>
      <c r="C86" s="49"/>
      <c r="D86" s="49"/>
      <c r="E86" s="49"/>
      <c r="F86" s="49"/>
      <c r="G86" s="49"/>
      <c r="H86" s="300"/>
      <c r="I86" s="76"/>
      <c r="J86" s="76"/>
      <c r="K86" s="302"/>
      <c r="L86" s="124"/>
      <c r="M86" s="53"/>
      <c r="N86" s="76"/>
      <c r="O86" s="31"/>
      <c r="P86" s="107"/>
      <c r="Q86" s="178"/>
      <c r="R86" s="138"/>
      <c r="S86" s="139"/>
      <c r="T86" s="140"/>
      <c r="U86" s="178"/>
      <c r="V86" s="138"/>
      <c r="W86" s="139"/>
      <c r="X86" s="177"/>
      <c r="Y86" s="178"/>
      <c r="Z86" s="138"/>
      <c r="AA86" s="139"/>
      <c r="AB86" s="177"/>
      <c r="AC86" s="178"/>
      <c r="AD86" s="138"/>
      <c r="AE86" s="139"/>
    </row>
    <row r="87" spans="1:31" ht="12">
      <c r="A87" s="74" t="s">
        <v>27</v>
      </c>
      <c r="B87" s="15" t="s">
        <v>30</v>
      </c>
      <c r="C87" s="15"/>
      <c r="D87" s="49"/>
      <c r="E87" s="49"/>
      <c r="F87" s="49"/>
      <c r="G87" s="49"/>
      <c r="H87" s="300">
        <v>20000</v>
      </c>
      <c r="I87" s="76">
        <v>80000</v>
      </c>
      <c r="J87" s="76"/>
      <c r="K87" s="302">
        <f>H87+I87+J87</f>
        <v>100000</v>
      </c>
      <c r="L87" s="124" t="s">
        <v>139</v>
      </c>
      <c r="M87" s="53">
        <v>1</v>
      </c>
      <c r="N87" s="76"/>
      <c r="O87" s="31">
        <f>K87</f>
        <v>100000</v>
      </c>
      <c r="P87" s="107" t="s">
        <v>139</v>
      </c>
      <c r="Q87" s="178">
        <v>1</v>
      </c>
      <c r="R87" s="138"/>
      <c r="S87" s="139">
        <f>O87</f>
        <v>100000</v>
      </c>
      <c r="T87" s="107" t="s">
        <v>139</v>
      </c>
      <c r="U87" s="178">
        <v>1</v>
      </c>
      <c r="V87" s="138"/>
      <c r="W87" s="139">
        <f>S87</f>
        <v>100000</v>
      </c>
      <c r="X87" s="177" t="s">
        <v>139</v>
      </c>
      <c r="Y87" s="178">
        <v>1</v>
      </c>
      <c r="Z87" s="138"/>
      <c r="AA87" s="139">
        <f>W87</f>
        <v>100000</v>
      </c>
      <c r="AB87" s="177" t="s">
        <v>139</v>
      </c>
      <c r="AC87" s="178">
        <v>1</v>
      </c>
      <c r="AD87" s="138"/>
      <c r="AE87" s="139">
        <f>AA87</f>
        <v>100000</v>
      </c>
    </row>
    <row r="88" spans="1:31" ht="12">
      <c r="A88" s="74" t="s">
        <v>28</v>
      </c>
      <c r="B88" s="86" t="s">
        <v>144</v>
      </c>
      <c r="C88" s="49"/>
      <c r="D88" s="49"/>
      <c r="E88" s="49"/>
      <c r="F88" s="49"/>
      <c r="G88" s="49"/>
      <c r="H88" s="300"/>
      <c r="I88" s="76"/>
      <c r="J88" s="76"/>
      <c r="K88" s="302">
        <f>H88+I88+J88</f>
        <v>0</v>
      </c>
      <c r="L88" s="124"/>
      <c r="M88" s="53"/>
      <c r="N88" s="76"/>
      <c r="O88" s="31">
        <f>K88</f>
        <v>0</v>
      </c>
      <c r="P88" s="78"/>
      <c r="Q88" s="53"/>
      <c r="R88" s="76"/>
      <c r="S88" s="77">
        <f>O88</f>
        <v>0</v>
      </c>
      <c r="T88" s="49" t="s">
        <v>139</v>
      </c>
      <c r="U88" s="53">
        <v>2</v>
      </c>
      <c r="V88" s="76">
        <v>85000</v>
      </c>
      <c r="W88" s="77">
        <f>U88*V88</f>
        <v>170000</v>
      </c>
      <c r="X88" s="78" t="s">
        <v>139</v>
      </c>
      <c r="Y88" s="53">
        <v>2</v>
      </c>
      <c r="Z88" s="76">
        <v>85000</v>
      </c>
      <c r="AA88" s="77">
        <f>Y88*Z88</f>
        <v>170000</v>
      </c>
      <c r="AB88" s="78" t="s">
        <v>139</v>
      </c>
      <c r="AC88" s="53">
        <v>2</v>
      </c>
      <c r="AD88" s="76">
        <v>85000</v>
      </c>
      <c r="AE88" s="77">
        <f>AC88*AD88</f>
        <v>170000</v>
      </c>
    </row>
    <row r="89" spans="1:31" ht="12.75" thickBot="1">
      <c r="A89" s="74"/>
      <c r="B89" s="86"/>
      <c r="C89" s="49"/>
      <c r="D89" s="49"/>
      <c r="E89" s="49"/>
      <c r="F89" s="49"/>
      <c r="G89" s="49"/>
      <c r="H89" s="300"/>
      <c r="I89" s="76"/>
      <c r="J89" s="76"/>
      <c r="K89" s="302"/>
      <c r="L89" s="124"/>
      <c r="M89" s="53"/>
      <c r="N89" s="76"/>
      <c r="O89" s="31"/>
      <c r="P89" s="78"/>
      <c r="Q89" s="53"/>
      <c r="R89" s="76"/>
      <c r="S89" s="51"/>
      <c r="T89" s="140"/>
      <c r="U89" s="178"/>
      <c r="V89" s="138"/>
      <c r="W89" s="139"/>
      <c r="X89" s="140"/>
      <c r="Y89" s="178"/>
      <c r="Z89" s="138"/>
      <c r="AA89" s="139"/>
      <c r="AB89" s="140"/>
      <c r="AC89" s="178"/>
      <c r="AD89" s="138"/>
      <c r="AE89" s="139"/>
    </row>
    <row r="90" spans="1:31" ht="12.75" thickTop="1">
      <c r="A90" s="225"/>
      <c r="B90" s="135" t="s">
        <v>143</v>
      </c>
      <c r="C90" s="82"/>
      <c r="D90" s="82"/>
      <c r="E90" s="82"/>
      <c r="F90" s="82"/>
      <c r="G90" s="82"/>
      <c r="H90" s="307">
        <f>H87+H88</f>
        <v>20000</v>
      </c>
      <c r="I90" s="282">
        <f>I87+I88</f>
        <v>80000</v>
      </c>
      <c r="J90" s="282">
        <f>J87+J88</f>
        <v>0</v>
      </c>
      <c r="K90" s="308">
        <f>K87+K88</f>
        <v>100000</v>
      </c>
      <c r="L90" s="256" t="s">
        <v>139</v>
      </c>
      <c r="M90" s="264">
        <f>M87+M88</f>
        <v>1</v>
      </c>
      <c r="N90" s="239">
        <f>O90/M90</f>
        <v>100000</v>
      </c>
      <c r="O90" s="92">
        <f>O87+O88</f>
        <v>100000</v>
      </c>
      <c r="P90" s="277" t="s">
        <v>139</v>
      </c>
      <c r="Q90" s="264">
        <f>Q87+Q88</f>
        <v>1</v>
      </c>
      <c r="R90" s="239">
        <f>S90/Q90</f>
        <v>100000</v>
      </c>
      <c r="S90" s="125">
        <f>S87+S88</f>
        <v>100000</v>
      </c>
      <c r="T90" s="447" t="s">
        <v>139</v>
      </c>
      <c r="U90" s="185">
        <f>U87+U88</f>
        <v>3</v>
      </c>
      <c r="V90" s="283">
        <f>W90/U90</f>
        <v>90000</v>
      </c>
      <c r="W90" s="187">
        <f>W87+W88</f>
        <v>270000</v>
      </c>
      <c r="X90" s="184" t="s">
        <v>139</v>
      </c>
      <c r="Y90" s="185">
        <f>Y87+Y88</f>
        <v>3</v>
      </c>
      <c r="Z90" s="283">
        <f>AA90/Y90</f>
        <v>90000</v>
      </c>
      <c r="AA90" s="187">
        <f>AA87+AA88</f>
        <v>270000</v>
      </c>
      <c r="AB90" s="184" t="s">
        <v>139</v>
      </c>
      <c r="AC90" s="185">
        <f>AC87+AC88</f>
        <v>3</v>
      </c>
      <c r="AD90" s="283">
        <f>AE90/AC90</f>
        <v>90000</v>
      </c>
      <c r="AE90" s="187">
        <f>AE87+AE88</f>
        <v>270000</v>
      </c>
    </row>
    <row r="91" spans="1:31" ht="12">
      <c r="A91" s="74"/>
      <c r="B91" s="15"/>
      <c r="C91" s="7"/>
      <c r="D91" s="7"/>
      <c r="E91" s="7"/>
      <c r="F91" s="7"/>
      <c r="G91" s="15"/>
      <c r="H91" s="300"/>
      <c r="I91" s="76"/>
      <c r="J91" s="76"/>
      <c r="K91" s="302"/>
      <c r="L91" s="124"/>
      <c r="M91" s="53"/>
      <c r="N91" s="76"/>
      <c r="O91" s="31"/>
      <c r="P91" s="107"/>
      <c r="Q91" s="178"/>
      <c r="R91" s="138"/>
      <c r="S91" s="139"/>
      <c r="T91" s="273"/>
      <c r="U91" s="235"/>
      <c r="V91" s="238"/>
      <c r="W91" s="236"/>
      <c r="X91" s="231"/>
      <c r="Y91" s="235"/>
      <c r="Z91" s="238"/>
      <c r="AA91" s="236"/>
      <c r="AB91" s="231"/>
      <c r="AC91" s="235"/>
      <c r="AD91" s="238"/>
      <c r="AE91" s="236"/>
    </row>
    <row r="92" spans="1:31" ht="12">
      <c r="A92" s="74">
        <v>4</v>
      </c>
      <c r="B92" s="21" t="s">
        <v>107</v>
      </c>
      <c r="C92" s="21"/>
      <c r="D92" s="21"/>
      <c r="E92" s="21"/>
      <c r="F92" s="21"/>
      <c r="G92" s="15"/>
      <c r="H92" s="300"/>
      <c r="I92" s="76"/>
      <c r="J92" s="76"/>
      <c r="K92" s="302"/>
      <c r="L92" s="124"/>
      <c r="M92" s="397"/>
      <c r="N92" s="76"/>
      <c r="O92" s="31"/>
      <c r="P92" s="107"/>
      <c r="Q92" s="398"/>
      <c r="R92" s="138"/>
      <c r="S92" s="139"/>
      <c r="T92" s="273"/>
      <c r="U92" s="235"/>
      <c r="V92" s="235"/>
      <c r="W92" s="336"/>
      <c r="X92" s="231"/>
      <c r="Y92" s="235"/>
      <c r="Z92" s="235"/>
      <c r="AA92" s="336"/>
      <c r="AB92" s="231"/>
      <c r="AC92" s="235"/>
      <c r="AD92" s="235"/>
      <c r="AE92" s="336"/>
    </row>
    <row r="93" spans="1:31" ht="12">
      <c r="A93" s="74" t="s">
        <v>52</v>
      </c>
      <c r="B93" s="86" t="s">
        <v>188</v>
      </c>
      <c r="C93" s="86"/>
      <c r="D93" s="15"/>
      <c r="E93" s="15"/>
      <c r="F93" s="15"/>
      <c r="G93" s="15"/>
      <c r="H93" s="300"/>
      <c r="I93" s="76"/>
      <c r="J93" s="76"/>
      <c r="K93" s="302"/>
      <c r="L93" s="124"/>
      <c r="M93" s="397"/>
      <c r="N93" s="76"/>
      <c r="O93" s="31"/>
      <c r="P93" s="78"/>
      <c r="Q93" s="397"/>
      <c r="R93" s="76"/>
      <c r="S93" s="77"/>
      <c r="T93" s="273"/>
      <c r="U93" s="235"/>
      <c r="V93" s="233"/>
      <c r="W93" s="236"/>
      <c r="X93" s="231"/>
      <c r="Y93" s="235"/>
      <c r="Z93" s="233"/>
      <c r="AA93" s="236"/>
      <c r="AB93" s="231"/>
      <c r="AC93" s="235"/>
      <c r="AD93" s="233"/>
      <c r="AE93" s="236"/>
    </row>
    <row r="94" spans="1:31" ht="12">
      <c r="A94" s="74" t="s">
        <v>234</v>
      </c>
      <c r="B94" s="15"/>
      <c r="C94" s="15" t="s">
        <v>30</v>
      </c>
      <c r="D94" s="15"/>
      <c r="E94" s="15"/>
      <c r="F94" s="15"/>
      <c r="G94" s="15"/>
      <c r="H94" s="300">
        <v>25000</v>
      </c>
      <c r="I94" s="76">
        <v>20000</v>
      </c>
      <c r="J94" s="76"/>
      <c r="K94" s="302">
        <f>H94+I94+J94</f>
        <v>45000</v>
      </c>
      <c r="L94" s="124"/>
      <c r="M94" s="397"/>
      <c r="N94" s="76"/>
      <c r="O94" s="31">
        <f>K94</f>
        <v>45000</v>
      </c>
      <c r="P94" s="78"/>
      <c r="Q94" s="397"/>
      <c r="R94" s="76"/>
      <c r="S94" s="77">
        <f>O94</f>
        <v>45000</v>
      </c>
      <c r="T94" s="140"/>
      <c r="U94" s="97"/>
      <c r="V94" s="138"/>
      <c r="W94" s="34">
        <f>S94</f>
        <v>45000</v>
      </c>
      <c r="X94" s="177"/>
      <c r="Y94" s="97"/>
      <c r="Z94" s="138"/>
      <c r="AA94" s="34">
        <f>W94</f>
        <v>45000</v>
      </c>
      <c r="AB94" s="177"/>
      <c r="AC94" s="97"/>
      <c r="AD94" s="138"/>
      <c r="AE94" s="34">
        <f>AA94</f>
        <v>45000</v>
      </c>
    </row>
    <row r="95" spans="1:31" ht="12">
      <c r="A95" s="74"/>
      <c r="B95" s="15"/>
      <c r="C95" s="15" t="s">
        <v>10</v>
      </c>
      <c r="D95" s="15"/>
      <c r="E95" s="15"/>
      <c r="F95" s="15"/>
      <c r="G95" s="15"/>
      <c r="H95" s="300"/>
      <c r="I95" s="76"/>
      <c r="J95" s="76"/>
      <c r="K95" s="302"/>
      <c r="L95" s="124"/>
      <c r="M95" s="397"/>
      <c r="N95" s="76"/>
      <c r="O95" s="31"/>
      <c r="P95" s="78"/>
      <c r="Q95" s="397"/>
      <c r="R95" s="76"/>
      <c r="S95" s="77"/>
      <c r="T95" s="140"/>
      <c r="U95" s="97"/>
      <c r="V95" s="141"/>
      <c r="W95" s="34"/>
      <c r="X95" s="177"/>
      <c r="Y95" s="97"/>
      <c r="Z95" s="141"/>
      <c r="AA95" s="34"/>
      <c r="AB95" s="177"/>
      <c r="AC95" s="97"/>
      <c r="AD95" s="141"/>
      <c r="AE95" s="34"/>
    </row>
    <row r="96" spans="1:31" ht="12">
      <c r="A96" s="74" t="s">
        <v>235</v>
      </c>
      <c r="B96" s="15"/>
      <c r="C96" s="15"/>
      <c r="D96" s="15" t="s">
        <v>11</v>
      </c>
      <c r="E96" s="15"/>
      <c r="F96" s="15"/>
      <c r="G96" s="15"/>
      <c r="H96" s="300"/>
      <c r="I96" s="76"/>
      <c r="J96" s="76"/>
      <c r="K96" s="302">
        <f>8715+8960+21840</f>
        <v>39515</v>
      </c>
      <c r="L96" s="124" t="s">
        <v>9</v>
      </c>
      <c r="M96" s="397">
        <v>35</v>
      </c>
      <c r="N96" s="95">
        <f>O96/M96</f>
        <v>1129</v>
      </c>
      <c r="O96" s="31">
        <f>K96</f>
        <v>39515</v>
      </c>
      <c r="P96" s="78" t="s">
        <v>9</v>
      </c>
      <c r="Q96" s="397">
        <v>35</v>
      </c>
      <c r="R96" s="95">
        <f>S96/Q96</f>
        <v>1129</v>
      </c>
      <c r="S96" s="77">
        <f>O96</f>
        <v>39515</v>
      </c>
      <c r="T96" s="78" t="s">
        <v>9</v>
      </c>
      <c r="U96" s="397">
        <v>35</v>
      </c>
      <c r="V96" s="188">
        <v>1500</v>
      </c>
      <c r="W96" s="139">
        <f>U96*V96</f>
        <v>52500</v>
      </c>
      <c r="X96" s="177" t="s">
        <v>9</v>
      </c>
      <c r="Y96" s="398">
        <v>35</v>
      </c>
      <c r="Z96" s="188">
        <v>1500</v>
      </c>
      <c r="AA96" s="139">
        <f>Y96*Z96</f>
        <v>52500</v>
      </c>
      <c r="AB96" s="177" t="s">
        <v>9</v>
      </c>
      <c r="AC96" s="398">
        <v>35</v>
      </c>
      <c r="AD96" s="188">
        <v>1500</v>
      </c>
      <c r="AE96" s="139">
        <f>AC96*AD96</f>
        <v>52500</v>
      </c>
    </row>
    <row r="97" spans="1:31" ht="12">
      <c r="A97" s="74" t="s">
        <v>236</v>
      </c>
      <c r="B97" s="15"/>
      <c r="C97" s="15"/>
      <c r="D97" s="15" t="s">
        <v>12</v>
      </c>
      <c r="E97" s="15"/>
      <c r="F97" s="15"/>
      <c r="G97" s="15"/>
      <c r="H97" s="300"/>
      <c r="I97" s="76"/>
      <c r="J97" s="76"/>
      <c r="K97" s="302">
        <v>24850</v>
      </c>
      <c r="L97" s="124" t="s">
        <v>9</v>
      </c>
      <c r="M97" s="397">
        <v>35</v>
      </c>
      <c r="N97" s="95">
        <f>O97/M97</f>
        <v>710</v>
      </c>
      <c r="O97" s="31">
        <f>K97</f>
        <v>24850</v>
      </c>
      <c r="P97" s="78" t="s">
        <v>9</v>
      </c>
      <c r="Q97" s="397">
        <v>35</v>
      </c>
      <c r="R97" s="95">
        <f>S97/Q97</f>
        <v>710</v>
      </c>
      <c r="S97" s="77">
        <f>O97</f>
        <v>24850</v>
      </c>
      <c r="T97" s="78" t="s">
        <v>9</v>
      </c>
      <c r="U97" s="397">
        <v>35</v>
      </c>
      <c r="V97" s="138">
        <v>710</v>
      </c>
      <c r="W97" s="139">
        <f>U97*V97</f>
        <v>24850</v>
      </c>
      <c r="X97" s="177" t="s">
        <v>9</v>
      </c>
      <c r="Y97" s="398">
        <v>35</v>
      </c>
      <c r="Z97" s="138">
        <v>710</v>
      </c>
      <c r="AA97" s="139">
        <f>Y97*Z97</f>
        <v>24850</v>
      </c>
      <c r="AB97" s="177" t="s">
        <v>9</v>
      </c>
      <c r="AC97" s="398">
        <v>35</v>
      </c>
      <c r="AD97" s="138">
        <v>710</v>
      </c>
      <c r="AE97" s="139">
        <f>AC97*AD97</f>
        <v>24850</v>
      </c>
    </row>
    <row r="98" spans="1:31" ht="12">
      <c r="A98" s="74" t="s">
        <v>237</v>
      </c>
      <c r="B98" s="15"/>
      <c r="C98" s="15"/>
      <c r="D98" s="15" t="s">
        <v>13</v>
      </c>
      <c r="E98" s="15"/>
      <c r="F98" s="15"/>
      <c r="G98" s="15"/>
      <c r="H98" s="303"/>
      <c r="I98" s="73"/>
      <c r="J98" s="73"/>
      <c r="K98" s="304"/>
      <c r="L98" s="124"/>
      <c r="M98" s="397"/>
      <c r="N98" s="95"/>
      <c r="O98" s="31"/>
      <c r="P98" s="78"/>
      <c r="Q98" s="397"/>
      <c r="R98" s="95"/>
      <c r="S98" s="77"/>
      <c r="T98" s="78"/>
      <c r="U98" s="397"/>
      <c r="V98" s="188"/>
      <c r="W98" s="139"/>
      <c r="X98" s="177"/>
      <c r="Y98" s="398"/>
      <c r="Z98" s="188"/>
      <c r="AA98" s="139"/>
      <c r="AB98" s="177"/>
      <c r="AC98" s="398"/>
      <c r="AD98" s="188"/>
      <c r="AE98" s="139"/>
    </row>
    <row r="99" spans="1:31" ht="12">
      <c r="A99" s="74" t="s">
        <v>238</v>
      </c>
      <c r="B99" s="15"/>
      <c r="C99" s="15"/>
      <c r="D99" s="15" t="s">
        <v>14</v>
      </c>
      <c r="E99" s="15"/>
      <c r="F99" s="15"/>
      <c r="G99" s="15"/>
      <c r="H99" s="300"/>
      <c r="I99" s="76"/>
      <c r="J99" s="76"/>
      <c r="K99" s="302">
        <v>58520</v>
      </c>
      <c r="L99" s="124" t="s">
        <v>9</v>
      </c>
      <c r="M99" s="397">
        <v>35</v>
      </c>
      <c r="N99" s="95">
        <f>O99/M99</f>
        <v>1672</v>
      </c>
      <c r="O99" s="31">
        <f>K99</f>
        <v>58520</v>
      </c>
      <c r="P99" s="78" t="s">
        <v>9</v>
      </c>
      <c r="Q99" s="397">
        <v>35</v>
      </c>
      <c r="R99" s="95">
        <f>S99/Q99</f>
        <v>1672</v>
      </c>
      <c r="S99" s="51">
        <f>O99</f>
        <v>58520</v>
      </c>
      <c r="T99" s="78" t="s">
        <v>9</v>
      </c>
      <c r="U99" s="397">
        <v>35</v>
      </c>
      <c r="V99" s="95">
        <v>1672</v>
      </c>
      <c r="W99" s="139">
        <f>U99*V99</f>
        <v>58520</v>
      </c>
      <c r="X99" s="177" t="s">
        <v>9</v>
      </c>
      <c r="Y99" s="398">
        <v>35</v>
      </c>
      <c r="Z99" s="188">
        <v>1672</v>
      </c>
      <c r="AA99" s="139">
        <f>Y99*Z99</f>
        <v>58520</v>
      </c>
      <c r="AB99" s="177" t="s">
        <v>9</v>
      </c>
      <c r="AC99" s="398">
        <v>35</v>
      </c>
      <c r="AD99" s="188">
        <v>1672</v>
      </c>
      <c r="AE99" s="139">
        <f>AC99*AD99</f>
        <v>58520</v>
      </c>
    </row>
    <row r="100" spans="1:31" ht="12">
      <c r="A100" s="74"/>
      <c r="B100" s="15"/>
      <c r="C100" s="15" t="s">
        <v>15</v>
      </c>
      <c r="D100" s="15"/>
      <c r="E100" s="15"/>
      <c r="F100" s="15"/>
      <c r="G100" s="15"/>
      <c r="H100" s="300"/>
      <c r="I100" s="76"/>
      <c r="J100" s="76"/>
      <c r="K100" s="302"/>
      <c r="L100" s="124"/>
      <c r="M100" s="397"/>
      <c r="N100" s="76"/>
      <c r="O100" s="31"/>
      <c r="P100" s="78"/>
      <c r="Q100" s="397"/>
      <c r="R100" s="76"/>
      <c r="S100" s="77"/>
      <c r="T100" s="140"/>
      <c r="U100" s="178"/>
      <c r="V100" s="141"/>
      <c r="W100" s="34"/>
      <c r="X100" s="177"/>
      <c r="Y100" s="178"/>
      <c r="Z100" s="141"/>
      <c r="AA100" s="34"/>
      <c r="AB100" s="177"/>
      <c r="AC100" s="178"/>
      <c r="AD100" s="141"/>
      <c r="AE100" s="34"/>
    </row>
    <row r="101" spans="1:31" ht="12">
      <c r="A101" s="74" t="s">
        <v>239</v>
      </c>
      <c r="B101" s="15"/>
      <c r="C101" s="15"/>
      <c r="D101" s="15" t="s">
        <v>11</v>
      </c>
      <c r="E101" s="15"/>
      <c r="F101" s="15"/>
      <c r="G101" s="15"/>
      <c r="H101" s="300"/>
      <c r="I101" s="76"/>
      <c r="J101" s="76"/>
      <c r="K101" s="302"/>
      <c r="L101" s="124"/>
      <c r="M101" s="397"/>
      <c r="N101" s="76"/>
      <c r="O101" s="31"/>
      <c r="P101" s="78"/>
      <c r="Q101" s="397"/>
      <c r="R101" s="76"/>
      <c r="S101" s="77"/>
      <c r="T101" s="140"/>
      <c r="U101" s="178"/>
      <c r="V101" s="141"/>
      <c r="W101" s="34"/>
      <c r="X101" s="177"/>
      <c r="Y101" s="178"/>
      <c r="Z101" s="141"/>
      <c r="AA101" s="34"/>
      <c r="AB101" s="177"/>
      <c r="AC101" s="178"/>
      <c r="AD101" s="141"/>
      <c r="AE101" s="34"/>
    </row>
    <row r="102" spans="1:31" ht="12">
      <c r="A102" s="74" t="s">
        <v>240</v>
      </c>
      <c r="B102" s="15"/>
      <c r="C102" s="15"/>
      <c r="D102" s="15" t="s">
        <v>12</v>
      </c>
      <c r="E102" s="15"/>
      <c r="F102" s="15"/>
      <c r="G102" s="15"/>
      <c r="H102" s="300"/>
      <c r="I102" s="76"/>
      <c r="J102" s="76"/>
      <c r="K102" s="302"/>
      <c r="L102" s="124"/>
      <c r="M102" s="397"/>
      <c r="N102" s="76"/>
      <c r="O102" s="31"/>
      <c r="P102" s="78"/>
      <c r="Q102" s="397"/>
      <c r="R102" s="76"/>
      <c r="S102" s="77"/>
      <c r="T102" s="140"/>
      <c r="U102" s="178"/>
      <c r="V102" s="88"/>
      <c r="W102" s="34"/>
      <c r="X102" s="177"/>
      <c r="Y102" s="178"/>
      <c r="Z102" s="88"/>
      <c r="AA102" s="34"/>
      <c r="AB102" s="177"/>
      <c r="AC102" s="178"/>
      <c r="AD102" s="88"/>
      <c r="AE102" s="34"/>
    </row>
    <row r="103" spans="1:31" ht="12">
      <c r="A103" s="74" t="s">
        <v>241</v>
      </c>
      <c r="B103" s="15"/>
      <c r="C103" s="15"/>
      <c r="D103" s="15" t="s">
        <v>13</v>
      </c>
      <c r="E103" s="15"/>
      <c r="F103" s="15"/>
      <c r="G103" s="15"/>
      <c r="H103" s="300"/>
      <c r="I103" s="76"/>
      <c r="J103" s="76"/>
      <c r="K103" s="302"/>
      <c r="L103" s="124"/>
      <c r="M103" s="397"/>
      <c r="N103" s="76"/>
      <c r="O103" s="31"/>
      <c r="P103" s="78"/>
      <c r="Q103" s="397"/>
      <c r="R103" s="76"/>
      <c r="S103" s="77"/>
      <c r="T103" s="140"/>
      <c r="U103" s="178"/>
      <c r="V103" s="141"/>
      <c r="W103" s="34"/>
      <c r="X103" s="177"/>
      <c r="Y103" s="178"/>
      <c r="Z103" s="141"/>
      <c r="AA103" s="34"/>
      <c r="AB103" s="177"/>
      <c r="AC103" s="178"/>
      <c r="AD103" s="141"/>
      <c r="AE103" s="34"/>
    </row>
    <row r="104" spans="1:31" ht="12">
      <c r="A104" s="74" t="s">
        <v>242</v>
      </c>
      <c r="B104" s="15"/>
      <c r="C104" s="15"/>
      <c r="D104" s="15" t="s">
        <v>14</v>
      </c>
      <c r="E104" s="15"/>
      <c r="F104" s="15"/>
      <c r="G104" s="15"/>
      <c r="H104" s="300"/>
      <c r="I104" s="76"/>
      <c r="J104" s="76"/>
      <c r="K104" s="302"/>
      <c r="L104" s="124"/>
      <c r="M104" s="397"/>
      <c r="N104" s="76"/>
      <c r="O104" s="31"/>
      <c r="P104" s="78"/>
      <c r="Q104" s="397"/>
      <c r="R104" s="76"/>
      <c r="S104" s="77"/>
      <c r="T104" s="140"/>
      <c r="U104" s="178"/>
      <c r="V104" s="141"/>
      <c r="W104" s="34"/>
      <c r="X104" s="177"/>
      <c r="Y104" s="178"/>
      <c r="Z104" s="141"/>
      <c r="AA104" s="34"/>
      <c r="AB104" s="177"/>
      <c r="AC104" s="178"/>
      <c r="AD104" s="141"/>
      <c r="AE104" s="34"/>
    </row>
    <row r="105" spans="1:31" ht="12">
      <c r="A105" s="74"/>
      <c r="B105" s="15"/>
      <c r="C105" s="15" t="s">
        <v>16</v>
      </c>
      <c r="D105" s="15"/>
      <c r="E105" s="15"/>
      <c r="F105" s="15"/>
      <c r="G105" s="15"/>
      <c r="H105" s="300">
        <f>SUM(H95:H104)</f>
        <v>0</v>
      </c>
      <c r="I105" s="76">
        <f>SUM(I95:I104)</f>
        <v>0</v>
      </c>
      <c r="J105" s="76">
        <f>SUM(J95:J104)</f>
        <v>0</v>
      </c>
      <c r="K105" s="302">
        <f>SUM(K96:K104)</f>
        <v>122885</v>
      </c>
      <c r="L105" s="124" t="str">
        <f>L96</f>
        <v>ac</v>
      </c>
      <c r="M105" s="397">
        <f>M96</f>
        <v>35</v>
      </c>
      <c r="N105" s="95">
        <f>O105/M105</f>
        <v>3511</v>
      </c>
      <c r="O105" s="31">
        <f>SUM(O95:O104)</f>
        <v>122885</v>
      </c>
      <c r="P105" s="78" t="str">
        <f>P96</f>
        <v>ac</v>
      </c>
      <c r="Q105" s="397">
        <f>Q96</f>
        <v>35</v>
      </c>
      <c r="R105" s="95">
        <f>S105/Q105</f>
        <v>3511</v>
      </c>
      <c r="S105" s="77">
        <f>SUM(S95:S104)</f>
        <v>122885</v>
      </c>
      <c r="T105" s="140" t="str">
        <f>T96</f>
        <v>ac</v>
      </c>
      <c r="U105" s="398">
        <f>U96</f>
        <v>35</v>
      </c>
      <c r="V105" s="188">
        <f>W105/U105</f>
        <v>3882</v>
      </c>
      <c r="W105" s="139">
        <f>SUM(W95:W104)</f>
        <v>135870</v>
      </c>
      <c r="X105" s="177" t="str">
        <f>X96</f>
        <v>ac</v>
      </c>
      <c r="Y105" s="398">
        <f>Y96</f>
        <v>35</v>
      </c>
      <c r="Z105" s="188">
        <f>AA105/Y105</f>
        <v>3882</v>
      </c>
      <c r="AA105" s="139">
        <f>SUM(AA95:AA104)</f>
        <v>135870</v>
      </c>
      <c r="AB105" s="177" t="str">
        <f>AB96</f>
        <v>ac</v>
      </c>
      <c r="AC105" s="398">
        <f>AC96</f>
        <v>35</v>
      </c>
      <c r="AD105" s="188">
        <f>AE105/AC105</f>
        <v>3882</v>
      </c>
      <c r="AE105" s="139">
        <f>SUM(AE95:AE104)</f>
        <v>135870</v>
      </c>
    </row>
    <row r="106" spans="1:31" ht="12">
      <c r="A106" s="74"/>
      <c r="B106" s="15"/>
      <c r="C106" s="15" t="s">
        <v>10</v>
      </c>
      <c r="D106" s="15"/>
      <c r="E106" s="15"/>
      <c r="F106" s="15"/>
      <c r="G106" s="15"/>
      <c r="H106" s="300"/>
      <c r="I106" s="76"/>
      <c r="J106" s="76"/>
      <c r="K106" s="302"/>
      <c r="L106" s="124"/>
      <c r="M106" s="397"/>
      <c r="N106" s="76"/>
      <c r="O106" s="31"/>
      <c r="P106" s="78"/>
      <c r="Q106" s="397"/>
      <c r="R106" s="76"/>
      <c r="S106" s="77"/>
      <c r="T106" s="140"/>
      <c r="U106" s="178"/>
      <c r="V106" s="141"/>
      <c r="W106" s="34"/>
      <c r="X106" s="177"/>
      <c r="Y106" s="178"/>
      <c r="Z106" s="141"/>
      <c r="AA106" s="34"/>
      <c r="AB106" s="177"/>
      <c r="AC106" s="178"/>
      <c r="AD106" s="141"/>
      <c r="AE106" s="34"/>
    </row>
    <row r="107" spans="1:31" ht="12">
      <c r="A107" s="74" t="s">
        <v>243</v>
      </c>
      <c r="B107" s="15"/>
      <c r="C107" s="15"/>
      <c r="D107" s="15" t="s">
        <v>17</v>
      </c>
      <c r="E107" s="15"/>
      <c r="F107" s="15"/>
      <c r="G107" s="15"/>
      <c r="H107" s="300"/>
      <c r="I107" s="76"/>
      <c r="J107" s="76"/>
      <c r="K107" s="302"/>
      <c r="L107" s="124"/>
      <c r="M107" s="397"/>
      <c r="N107" s="76"/>
      <c r="O107" s="31"/>
      <c r="P107" s="78"/>
      <c r="Q107" s="397"/>
      <c r="R107" s="76"/>
      <c r="S107" s="77"/>
      <c r="T107" s="140"/>
      <c r="U107" s="178"/>
      <c r="V107" s="88"/>
      <c r="W107" s="34"/>
      <c r="X107" s="177"/>
      <c r="Y107" s="178"/>
      <c r="Z107" s="88"/>
      <c r="AA107" s="34"/>
      <c r="AB107" s="177"/>
      <c r="AC107" s="178"/>
      <c r="AD107" s="88"/>
      <c r="AE107" s="34"/>
    </row>
    <row r="108" spans="1:31" ht="12">
      <c r="A108" s="74" t="s">
        <v>244</v>
      </c>
      <c r="B108" s="15"/>
      <c r="C108" s="15"/>
      <c r="D108" s="15" t="s">
        <v>18</v>
      </c>
      <c r="E108" s="15"/>
      <c r="F108" s="15"/>
      <c r="G108" s="15"/>
      <c r="H108" s="300"/>
      <c r="I108" s="76"/>
      <c r="J108" s="76"/>
      <c r="K108" s="302">
        <v>18375</v>
      </c>
      <c r="L108" s="124" t="s">
        <v>9</v>
      </c>
      <c r="M108" s="397">
        <v>35</v>
      </c>
      <c r="N108" s="95">
        <f>O108/M108</f>
        <v>525</v>
      </c>
      <c r="O108" s="31">
        <f>K108</f>
        <v>18375</v>
      </c>
      <c r="P108" s="78" t="s">
        <v>9</v>
      </c>
      <c r="Q108" s="397">
        <v>35</v>
      </c>
      <c r="R108" s="95">
        <f>S108/Q108</f>
        <v>525</v>
      </c>
      <c r="S108" s="77">
        <f>O108</f>
        <v>18375</v>
      </c>
      <c r="T108" s="78" t="s">
        <v>9</v>
      </c>
      <c r="U108" s="397">
        <v>35</v>
      </c>
      <c r="V108" s="188">
        <v>1500</v>
      </c>
      <c r="W108" s="139">
        <f>U108*V108</f>
        <v>52500</v>
      </c>
      <c r="X108" s="177" t="s">
        <v>9</v>
      </c>
      <c r="Y108" s="398">
        <v>35</v>
      </c>
      <c r="Z108" s="188">
        <v>1500</v>
      </c>
      <c r="AA108" s="139">
        <f>Y108*Z108</f>
        <v>52500</v>
      </c>
      <c r="AB108" s="177" t="s">
        <v>9</v>
      </c>
      <c r="AC108" s="398">
        <v>35</v>
      </c>
      <c r="AD108" s="188">
        <v>1500</v>
      </c>
      <c r="AE108" s="139">
        <f>AC108*AD108</f>
        <v>52500</v>
      </c>
    </row>
    <row r="109" spans="1:31" ht="12">
      <c r="A109" s="74"/>
      <c r="B109" s="15"/>
      <c r="C109" s="15" t="s">
        <v>15</v>
      </c>
      <c r="D109" s="15"/>
      <c r="E109" s="15"/>
      <c r="F109" s="15"/>
      <c r="G109" s="15"/>
      <c r="H109" s="300"/>
      <c r="I109" s="76"/>
      <c r="J109" s="76"/>
      <c r="K109" s="302"/>
      <c r="L109" s="124"/>
      <c r="M109" s="397"/>
      <c r="N109" s="76"/>
      <c r="O109" s="31"/>
      <c r="P109" s="78"/>
      <c r="Q109" s="397"/>
      <c r="R109" s="76"/>
      <c r="S109" s="77"/>
      <c r="T109" s="140"/>
      <c r="U109" s="178"/>
      <c r="V109" s="88"/>
      <c r="W109" s="34"/>
      <c r="X109" s="177"/>
      <c r="Y109" s="178"/>
      <c r="Z109" s="88"/>
      <c r="AA109" s="34"/>
      <c r="AB109" s="177"/>
      <c r="AC109" s="178"/>
      <c r="AD109" s="88"/>
      <c r="AE109" s="34"/>
    </row>
    <row r="110" spans="1:31" ht="12">
      <c r="A110" s="74" t="s">
        <v>245</v>
      </c>
      <c r="B110" s="15"/>
      <c r="C110" s="15"/>
      <c r="D110" s="15" t="s">
        <v>17</v>
      </c>
      <c r="E110" s="15"/>
      <c r="F110" s="15"/>
      <c r="G110" s="15"/>
      <c r="H110" s="300"/>
      <c r="I110" s="76"/>
      <c r="J110" s="76"/>
      <c r="K110" s="302"/>
      <c r="L110" s="124"/>
      <c r="M110" s="397"/>
      <c r="N110" s="76"/>
      <c r="O110" s="31"/>
      <c r="P110" s="78"/>
      <c r="Q110" s="397"/>
      <c r="R110" s="76"/>
      <c r="S110" s="77"/>
      <c r="T110" s="140"/>
      <c r="U110" s="178"/>
      <c r="V110" s="88"/>
      <c r="W110" s="34"/>
      <c r="X110" s="177"/>
      <c r="Y110" s="178"/>
      <c r="Z110" s="88"/>
      <c r="AA110" s="34"/>
      <c r="AB110" s="177"/>
      <c r="AC110" s="178"/>
      <c r="AD110" s="88"/>
      <c r="AE110" s="34"/>
    </row>
    <row r="111" spans="1:31" ht="12">
      <c r="A111" s="74" t="s">
        <v>246</v>
      </c>
      <c r="B111" s="15"/>
      <c r="C111" s="15"/>
      <c r="D111" s="15" t="s">
        <v>19</v>
      </c>
      <c r="E111" s="15"/>
      <c r="F111" s="15"/>
      <c r="G111" s="15"/>
      <c r="H111" s="303"/>
      <c r="I111" s="76"/>
      <c r="J111" s="76"/>
      <c r="K111" s="302"/>
      <c r="L111" s="124"/>
      <c r="M111" s="397"/>
      <c r="N111" s="76"/>
      <c r="O111" s="31"/>
      <c r="P111" s="78"/>
      <c r="Q111" s="397"/>
      <c r="R111" s="76"/>
      <c r="S111" s="77"/>
      <c r="T111" s="140"/>
      <c r="U111" s="178"/>
      <c r="V111" s="88"/>
      <c r="W111" s="34"/>
      <c r="X111" s="177"/>
      <c r="Y111" s="178"/>
      <c r="Z111" s="88"/>
      <c r="AA111" s="34"/>
      <c r="AB111" s="177"/>
      <c r="AC111" s="178"/>
      <c r="AD111" s="88"/>
      <c r="AE111" s="34"/>
    </row>
    <row r="112" spans="1:31" ht="12">
      <c r="A112" s="74"/>
      <c r="B112" s="15"/>
      <c r="C112" s="15" t="s">
        <v>20</v>
      </c>
      <c r="D112" s="15"/>
      <c r="E112" s="15"/>
      <c r="F112" s="15"/>
      <c r="G112" s="15"/>
      <c r="H112" s="300">
        <f>SUM(H106:H111)</f>
        <v>0</v>
      </c>
      <c r="I112" s="76">
        <f>SUM(I106:I111)</f>
        <v>0</v>
      </c>
      <c r="J112" s="76">
        <f>SUM(J106:J111)</f>
        <v>0</v>
      </c>
      <c r="K112" s="302">
        <f>SUM(K107:K111)</f>
        <v>18375</v>
      </c>
      <c r="L112" s="124" t="str">
        <f>L108</f>
        <v>ac</v>
      </c>
      <c r="M112" s="397">
        <f>M108</f>
        <v>35</v>
      </c>
      <c r="N112" s="95">
        <f>O112/M112</f>
        <v>525</v>
      </c>
      <c r="O112" s="31">
        <f>SUM(O106:O111)</f>
        <v>18375</v>
      </c>
      <c r="P112" s="78" t="str">
        <f>P108</f>
        <v>ac</v>
      </c>
      <c r="Q112" s="397">
        <f>Q108</f>
        <v>35</v>
      </c>
      <c r="R112" s="95">
        <f>S112/Q112</f>
        <v>525</v>
      </c>
      <c r="S112" s="77">
        <f>SUM(S106:S111)</f>
        <v>18375</v>
      </c>
      <c r="T112" s="140" t="str">
        <f>T108</f>
        <v>ac</v>
      </c>
      <c r="U112" s="398">
        <f>U108</f>
        <v>35</v>
      </c>
      <c r="V112" s="188">
        <f>W112/U112</f>
        <v>1500</v>
      </c>
      <c r="W112" s="139">
        <f>SUM(W106:W111)</f>
        <v>52500</v>
      </c>
      <c r="X112" s="177" t="str">
        <f>X108</f>
        <v>ac</v>
      </c>
      <c r="Y112" s="398">
        <f>Y108</f>
        <v>35</v>
      </c>
      <c r="Z112" s="188">
        <f>AA112/Y112</f>
        <v>1500</v>
      </c>
      <c r="AA112" s="139">
        <f>SUM(AA106:AA111)</f>
        <v>52500</v>
      </c>
      <c r="AB112" s="177" t="str">
        <f>AB108</f>
        <v>ac</v>
      </c>
      <c r="AC112" s="398">
        <f>AC108</f>
        <v>35</v>
      </c>
      <c r="AD112" s="188">
        <f>AE112/AC112</f>
        <v>1500</v>
      </c>
      <c r="AE112" s="139">
        <f>SUM(AE106:AE111)</f>
        <v>52500</v>
      </c>
    </row>
    <row r="113" spans="1:31" ht="12">
      <c r="A113" s="74"/>
      <c r="B113" s="15" t="s">
        <v>189</v>
      </c>
      <c r="C113" s="15"/>
      <c r="D113" s="15"/>
      <c r="E113" s="15"/>
      <c r="F113" s="15"/>
      <c r="G113" s="15"/>
      <c r="H113" s="300">
        <f>H105+H112+H94</f>
        <v>25000</v>
      </c>
      <c r="I113" s="76">
        <f>I105+I112+I94</f>
        <v>20000</v>
      </c>
      <c r="J113" s="76">
        <f>J105+J112+J94</f>
        <v>0</v>
      </c>
      <c r="K113" s="302">
        <f>K105+K112+K94</f>
        <v>186260</v>
      </c>
      <c r="L113" s="124" t="s">
        <v>9</v>
      </c>
      <c r="M113" s="397">
        <f>M105</f>
        <v>35</v>
      </c>
      <c r="N113" s="95">
        <f>O113/M113</f>
        <v>5321.714285714285</v>
      </c>
      <c r="O113" s="31">
        <f>O105+O112+O94</f>
        <v>186260</v>
      </c>
      <c r="P113" s="78" t="s">
        <v>9</v>
      </c>
      <c r="Q113" s="397">
        <f>Q105</f>
        <v>35</v>
      </c>
      <c r="R113" s="95">
        <f>S113/Q113</f>
        <v>5321.714285714285</v>
      </c>
      <c r="S113" s="77">
        <f>S105+S112+S94</f>
        <v>186260</v>
      </c>
      <c r="T113" s="140" t="s">
        <v>9</v>
      </c>
      <c r="U113" s="398">
        <f>U105</f>
        <v>35</v>
      </c>
      <c r="V113" s="188">
        <f>W113/U113</f>
        <v>6667.714285714285</v>
      </c>
      <c r="W113" s="139">
        <f>W105+W112+W94</f>
        <v>233370</v>
      </c>
      <c r="X113" s="177" t="s">
        <v>9</v>
      </c>
      <c r="Y113" s="398">
        <f>Y105</f>
        <v>35</v>
      </c>
      <c r="Z113" s="188">
        <f>AA113/Y113</f>
        <v>6667.714285714285</v>
      </c>
      <c r="AA113" s="139">
        <f>AA105+AA112+AA94</f>
        <v>233370</v>
      </c>
      <c r="AB113" s="177" t="s">
        <v>9</v>
      </c>
      <c r="AC113" s="398">
        <f>AC105</f>
        <v>35</v>
      </c>
      <c r="AD113" s="188">
        <f>AE113/AC113</f>
        <v>6667.714285714285</v>
      </c>
      <c r="AE113" s="139">
        <f>AE105+AE112+AE94</f>
        <v>233370</v>
      </c>
    </row>
    <row r="114" spans="1:31" ht="12">
      <c r="A114" s="74"/>
      <c r="B114" s="15"/>
      <c r="C114" s="15"/>
      <c r="D114" s="15"/>
      <c r="E114" s="15"/>
      <c r="F114" s="15"/>
      <c r="G114" s="15"/>
      <c r="H114" s="300"/>
      <c r="I114" s="76"/>
      <c r="J114" s="76"/>
      <c r="K114" s="302"/>
      <c r="L114" s="124"/>
      <c r="M114" s="397"/>
      <c r="N114" s="76"/>
      <c r="O114" s="31"/>
      <c r="P114" s="78"/>
      <c r="Q114" s="397"/>
      <c r="R114" s="76"/>
      <c r="S114" s="77"/>
      <c r="T114" s="273"/>
      <c r="U114" s="235"/>
      <c r="V114" s="238"/>
      <c r="W114" s="236"/>
      <c r="X114" s="177"/>
      <c r="Y114" s="97"/>
      <c r="Z114" s="88"/>
      <c r="AA114" s="34"/>
      <c r="AB114" s="177"/>
      <c r="AC114" s="97"/>
      <c r="AD114" s="88"/>
      <c r="AE114" s="34"/>
    </row>
    <row r="115" spans="1:31" ht="12">
      <c r="A115" s="74" t="s">
        <v>53</v>
      </c>
      <c r="B115" s="86" t="s">
        <v>190</v>
      </c>
      <c r="C115" s="86"/>
      <c r="D115" s="15"/>
      <c r="E115" s="15"/>
      <c r="F115" s="15"/>
      <c r="G115" s="15"/>
      <c r="H115" s="300"/>
      <c r="I115" s="76"/>
      <c r="J115" s="76"/>
      <c r="K115" s="302"/>
      <c r="L115" s="124"/>
      <c r="M115" s="397"/>
      <c r="N115" s="76"/>
      <c r="O115" s="31"/>
      <c r="P115" s="78"/>
      <c r="Q115" s="397"/>
      <c r="R115" s="76"/>
      <c r="S115" s="77"/>
      <c r="T115" s="273"/>
      <c r="U115" s="235"/>
      <c r="V115" s="233"/>
      <c r="W115" s="236"/>
      <c r="X115" s="177"/>
      <c r="Y115" s="97"/>
      <c r="Z115" s="138"/>
      <c r="AA115" s="34"/>
      <c r="AB115" s="177"/>
      <c r="AC115" s="97"/>
      <c r="AD115" s="138"/>
      <c r="AE115" s="34"/>
    </row>
    <row r="116" spans="1:31" ht="12">
      <c r="A116" s="74" t="s">
        <v>247</v>
      </c>
      <c r="B116" s="15"/>
      <c r="C116" s="15" t="s">
        <v>30</v>
      </c>
      <c r="D116" s="15"/>
      <c r="E116" s="15"/>
      <c r="F116" s="15"/>
      <c r="G116" s="15"/>
      <c r="H116" s="300">
        <f>168000+5000</f>
        <v>173000</v>
      </c>
      <c r="I116" s="76">
        <f>132000+10000</f>
        <v>142000</v>
      </c>
      <c r="J116" s="76"/>
      <c r="K116" s="302">
        <f>H116+I116+J116</f>
        <v>315000</v>
      </c>
      <c r="L116" s="124" t="s">
        <v>139</v>
      </c>
      <c r="M116" s="53">
        <v>2</v>
      </c>
      <c r="N116" s="76"/>
      <c r="O116" s="31">
        <f>K116</f>
        <v>315000</v>
      </c>
      <c r="P116" s="78" t="s">
        <v>139</v>
      </c>
      <c r="Q116" s="53">
        <v>2</v>
      </c>
      <c r="R116" s="76"/>
      <c r="S116" s="77">
        <f>O116</f>
        <v>315000</v>
      </c>
      <c r="T116" s="140" t="str">
        <f>P116</f>
        <v>lot</v>
      </c>
      <c r="U116" s="178">
        <f>Q116</f>
        <v>2</v>
      </c>
      <c r="V116" s="138"/>
      <c r="W116" s="34">
        <f>S116</f>
        <v>315000</v>
      </c>
      <c r="X116" s="177" t="str">
        <f>T116</f>
        <v>lot</v>
      </c>
      <c r="Y116" s="178">
        <f>U116</f>
        <v>2</v>
      </c>
      <c r="Z116" s="138"/>
      <c r="AA116" s="34">
        <f>W116</f>
        <v>315000</v>
      </c>
      <c r="AB116" s="177" t="str">
        <f>X116</f>
        <v>lot</v>
      </c>
      <c r="AC116" s="178">
        <f>Y116</f>
        <v>2</v>
      </c>
      <c r="AD116" s="138"/>
      <c r="AE116" s="34">
        <f>AA116</f>
        <v>315000</v>
      </c>
    </row>
    <row r="117" spans="1:31" ht="12">
      <c r="A117" s="74"/>
      <c r="B117" s="15"/>
      <c r="C117" s="15" t="s">
        <v>10</v>
      </c>
      <c r="D117" s="15"/>
      <c r="E117" s="15"/>
      <c r="F117" s="15"/>
      <c r="G117" s="15"/>
      <c r="H117" s="300"/>
      <c r="I117" s="76"/>
      <c r="J117" s="76"/>
      <c r="K117" s="302"/>
      <c r="L117" s="124"/>
      <c r="M117" s="397"/>
      <c r="N117" s="76"/>
      <c r="O117" s="31"/>
      <c r="P117" s="78"/>
      <c r="Q117" s="397"/>
      <c r="R117" s="76"/>
      <c r="S117" s="77"/>
      <c r="T117" s="49"/>
      <c r="U117" s="53"/>
      <c r="V117" s="76"/>
      <c r="W117" s="77"/>
      <c r="X117" s="177"/>
      <c r="Y117" s="178"/>
      <c r="Z117" s="138"/>
      <c r="AA117" s="139"/>
      <c r="AB117" s="177"/>
      <c r="AC117" s="178"/>
      <c r="AD117" s="138"/>
      <c r="AE117" s="139"/>
    </row>
    <row r="118" spans="1:31" ht="12">
      <c r="A118" s="74" t="s">
        <v>248</v>
      </c>
      <c r="B118" s="15"/>
      <c r="C118" s="15"/>
      <c r="D118" s="15" t="s">
        <v>11</v>
      </c>
      <c r="E118" s="15"/>
      <c r="F118" s="15"/>
      <c r="G118" s="15"/>
      <c r="H118" s="300"/>
      <c r="I118" s="76"/>
      <c r="J118" s="76"/>
      <c r="K118" s="302">
        <v>4282.8</v>
      </c>
      <c r="L118" s="124" t="s">
        <v>9</v>
      </c>
      <c r="M118" s="397">
        <v>17.2</v>
      </c>
      <c r="N118" s="95">
        <f>O118/M118</f>
        <v>249.00000000000003</v>
      </c>
      <c r="O118" s="31">
        <f>K118</f>
        <v>4282.8</v>
      </c>
      <c r="P118" s="78" t="s">
        <v>9</v>
      </c>
      <c r="Q118" s="397">
        <v>17.2</v>
      </c>
      <c r="R118" s="95">
        <f>S118/Q118</f>
        <v>249.00000000000003</v>
      </c>
      <c r="S118" s="77">
        <f aca="true" t="shared" si="5" ref="S118:U119">O118</f>
        <v>4282.8</v>
      </c>
      <c r="T118" s="49" t="str">
        <f t="shared" si="5"/>
        <v>ac</v>
      </c>
      <c r="U118" s="397">
        <f t="shared" si="5"/>
        <v>17.2</v>
      </c>
      <c r="V118" s="188">
        <v>1500</v>
      </c>
      <c r="W118" s="139">
        <f>U118*V118</f>
        <v>25800</v>
      </c>
      <c r="X118" s="177" t="str">
        <f>T118</f>
        <v>ac</v>
      </c>
      <c r="Y118" s="398">
        <f>U118</f>
        <v>17.2</v>
      </c>
      <c r="Z118" s="188">
        <v>1500</v>
      </c>
      <c r="AA118" s="139">
        <f>Y118*Z118</f>
        <v>25800</v>
      </c>
      <c r="AB118" s="177" t="str">
        <f>X118</f>
        <v>ac</v>
      </c>
      <c r="AC118" s="398">
        <f>Y118</f>
        <v>17.2</v>
      </c>
      <c r="AD118" s="188">
        <v>1500</v>
      </c>
      <c r="AE118" s="139">
        <f>AC118*AD118</f>
        <v>25800</v>
      </c>
    </row>
    <row r="119" spans="1:31" ht="12">
      <c r="A119" s="74" t="s">
        <v>249</v>
      </c>
      <c r="B119" s="15"/>
      <c r="C119" s="15"/>
      <c r="D119" s="15" t="s">
        <v>12</v>
      </c>
      <c r="E119" s="15"/>
      <c r="F119" s="15"/>
      <c r="G119" s="15"/>
      <c r="H119" s="300"/>
      <c r="I119" s="76"/>
      <c r="J119" s="76"/>
      <c r="K119" s="302">
        <v>12212</v>
      </c>
      <c r="L119" s="124" t="s">
        <v>9</v>
      </c>
      <c r="M119" s="397">
        <v>17.2</v>
      </c>
      <c r="N119" s="95">
        <f>O119/M119</f>
        <v>710</v>
      </c>
      <c r="O119" s="31">
        <f>K119</f>
        <v>12212</v>
      </c>
      <c r="P119" s="78" t="s">
        <v>9</v>
      </c>
      <c r="Q119" s="397">
        <v>17.2</v>
      </c>
      <c r="R119" s="95">
        <f>S119/Q119</f>
        <v>710</v>
      </c>
      <c r="S119" s="77">
        <f t="shared" si="5"/>
        <v>12212</v>
      </c>
      <c r="T119" s="49" t="str">
        <f t="shared" si="5"/>
        <v>ac</v>
      </c>
      <c r="U119" s="397">
        <f t="shared" si="5"/>
        <v>17.2</v>
      </c>
      <c r="V119" s="138">
        <v>710</v>
      </c>
      <c r="W119" s="139">
        <f>U119*V119</f>
        <v>12212</v>
      </c>
      <c r="X119" s="177" t="str">
        <f>T119</f>
        <v>ac</v>
      </c>
      <c r="Y119" s="398">
        <f>U119</f>
        <v>17.2</v>
      </c>
      <c r="Z119" s="138">
        <v>710</v>
      </c>
      <c r="AA119" s="139">
        <f>Y119*Z119</f>
        <v>12212</v>
      </c>
      <c r="AB119" s="177" t="str">
        <f>X119</f>
        <v>ac</v>
      </c>
      <c r="AC119" s="398">
        <f>Y119</f>
        <v>17.2</v>
      </c>
      <c r="AD119" s="138">
        <v>710</v>
      </c>
      <c r="AE119" s="139">
        <f>AC119*AD119</f>
        <v>12212</v>
      </c>
    </row>
    <row r="120" spans="1:31" ht="12">
      <c r="A120" s="74" t="s">
        <v>250</v>
      </c>
      <c r="B120" s="15"/>
      <c r="C120" s="15"/>
      <c r="D120" s="15" t="s">
        <v>13</v>
      </c>
      <c r="E120" s="15"/>
      <c r="F120" s="15"/>
      <c r="G120" s="15"/>
      <c r="H120" s="303"/>
      <c r="I120" s="73"/>
      <c r="J120" s="73"/>
      <c r="K120" s="304"/>
      <c r="L120" s="124"/>
      <c r="M120" s="397"/>
      <c r="N120" s="95"/>
      <c r="O120" s="31"/>
      <c r="P120" s="78"/>
      <c r="Q120" s="397"/>
      <c r="R120" s="95"/>
      <c r="S120" s="77"/>
      <c r="T120" s="49"/>
      <c r="U120" s="53"/>
      <c r="V120" s="188"/>
      <c r="W120" s="139"/>
      <c r="X120" s="177"/>
      <c r="Y120" s="178"/>
      <c r="Z120" s="188"/>
      <c r="AA120" s="139"/>
      <c r="AB120" s="177"/>
      <c r="AC120" s="178"/>
      <c r="AD120" s="188"/>
      <c r="AE120" s="139"/>
    </row>
    <row r="121" spans="1:31" ht="12">
      <c r="A121" s="74" t="s">
        <v>251</v>
      </c>
      <c r="B121" s="15"/>
      <c r="C121" s="15"/>
      <c r="D121" s="15" t="s">
        <v>14</v>
      </c>
      <c r="E121" s="15"/>
      <c r="F121" s="15"/>
      <c r="G121" s="15"/>
      <c r="H121" s="300"/>
      <c r="I121" s="76"/>
      <c r="J121" s="76"/>
      <c r="K121" s="302">
        <v>28758.4</v>
      </c>
      <c r="L121" s="124" t="s">
        <v>9</v>
      </c>
      <c r="M121" s="397">
        <v>17.2</v>
      </c>
      <c r="N121" s="95">
        <f>O121/M121</f>
        <v>1672.0000000000002</v>
      </c>
      <c r="O121" s="31">
        <f>K121</f>
        <v>28758.4</v>
      </c>
      <c r="P121" s="78" t="s">
        <v>9</v>
      </c>
      <c r="Q121" s="397">
        <v>17.2</v>
      </c>
      <c r="R121" s="95">
        <f>S121/Q121</f>
        <v>1672.0000000000002</v>
      </c>
      <c r="S121" s="77">
        <f>O121</f>
        <v>28758.4</v>
      </c>
      <c r="T121" s="49" t="str">
        <f>P121</f>
        <v>ac</v>
      </c>
      <c r="U121" s="397">
        <f>Q121</f>
        <v>17.2</v>
      </c>
      <c r="V121" s="95">
        <v>1672</v>
      </c>
      <c r="W121" s="139">
        <f>U121*V121</f>
        <v>28758.399999999998</v>
      </c>
      <c r="X121" s="177" t="str">
        <f>T121</f>
        <v>ac</v>
      </c>
      <c r="Y121" s="398">
        <f>U121</f>
        <v>17.2</v>
      </c>
      <c r="Z121" s="188">
        <v>1672</v>
      </c>
      <c r="AA121" s="139">
        <f>Y121*Z121</f>
        <v>28758.399999999998</v>
      </c>
      <c r="AB121" s="177" t="str">
        <f>X121</f>
        <v>ac</v>
      </c>
      <c r="AC121" s="398">
        <f>Y121</f>
        <v>17.2</v>
      </c>
      <c r="AD121" s="188">
        <v>1672</v>
      </c>
      <c r="AE121" s="139">
        <f>AC121*AD121</f>
        <v>28758.399999999998</v>
      </c>
    </row>
    <row r="122" spans="1:31" ht="12">
      <c r="A122" s="74"/>
      <c r="B122" s="15"/>
      <c r="C122" s="15" t="s">
        <v>15</v>
      </c>
      <c r="D122" s="15"/>
      <c r="E122" s="15"/>
      <c r="F122" s="15"/>
      <c r="G122" s="15"/>
      <c r="H122" s="300"/>
      <c r="I122" s="76"/>
      <c r="J122" s="76"/>
      <c r="K122" s="302"/>
      <c r="L122" s="124"/>
      <c r="M122" s="397"/>
      <c r="N122" s="76"/>
      <c r="O122" s="31"/>
      <c r="P122" s="78"/>
      <c r="Q122" s="397"/>
      <c r="R122" s="76"/>
      <c r="S122" s="77"/>
      <c r="T122" s="49"/>
      <c r="U122" s="53"/>
      <c r="V122" s="75"/>
      <c r="W122" s="448"/>
      <c r="X122" s="177"/>
      <c r="Y122" s="178"/>
      <c r="Z122" s="141"/>
      <c r="AA122" s="34"/>
      <c r="AB122" s="177"/>
      <c r="AC122" s="178"/>
      <c r="AD122" s="141"/>
      <c r="AE122" s="34"/>
    </row>
    <row r="123" spans="1:31" ht="12">
      <c r="A123" s="74" t="s">
        <v>252</v>
      </c>
      <c r="B123" s="15"/>
      <c r="C123" s="15"/>
      <c r="D123" s="15" t="s">
        <v>11</v>
      </c>
      <c r="E123" s="15"/>
      <c r="F123" s="15"/>
      <c r="G123" s="15"/>
      <c r="H123" s="300"/>
      <c r="I123" s="76"/>
      <c r="J123" s="76"/>
      <c r="K123" s="302"/>
      <c r="L123" s="124"/>
      <c r="M123" s="397"/>
      <c r="N123" s="76"/>
      <c r="O123" s="31"/>
      <c r="P123" s="78"/>
      <c r="Q123" s="397"/>
      <c r="R123" s="76"/>
      <c r="S123" s="77"/>
      <c r="T123" s="49"/>
      <c r="U123" s="53"/>
      <c r="V123" s="75"/>
      <c r="W123" s="448"/>
      <c r="X123" s="177"/>
      <c r="Y123" s="178"/>
      <c r="Z123" s="141"/>
      <c r="AA123" s="34"/>
      <c r="AB123" s="177"/>
      <c r="AC123" s="178"/>
      <c r="AD123" s="141"/>
      <c r="AE123" s="34"/>
    </row>
    <row r="124" spans="1:31" ht="12">
      <c r="A124" s="74" t="s">
        <v>253</v>
      </c>
      <c r="B124" s="15"/>
      <c r="C124" s="15"/>
      <c r="D124" s="15" t="s">
        <v>12</v>
      </c>
      <c r="E124" s="15"/>
      <c r="F124" s="15"/>
      <c r="G124" s="15"/>
      <c r="H124" s="300"/>
      <c r="I124" s="76"/>
      <c r="J124" s="76"/>
      <c r="K124" s="302"/>
      <c r="L124" s="124"/>
      <c r="M124" s="397"/>
      <c r="N124" s="76"/>
      <c r="O124" s="31"/>
      <c r="P124" s="78"/>
      <c r="Q124" s="397"/>
      <c r="R124" s="76"/>
      <c r="S124" s="77"/>
      <c r="T124" s="49"/>
      <c r="U124" s="53"/>
      <c r="V124" s="84"/>
      <c r="W124" s="448"/>
      <c r="X124" s="177"/>
      <c r="Y124" s="178"/>
      <c r="Z124" s="88"/>
      <c r="AA124" s="34"/>
      <c r="AB124" s="177"/>
      <c r="AC124" s="178"/>
      <c r="AD124" s="88"/>
      <c r="AE124" s="34"/>
    </row>
    <row r="125" spans="1:31" ht="12">
      <c r="A125" s="74" t="s">
        <v>254</v>
      </c>
      <c r="B125" s="15"/>
      <c r="C125" s="15"/>
      <c r="D125" s="15" t="s">
        <v>13</v>
      </c>
      <c r="E125" s="15"/>
      <c r="F125" s="15"/>
      <c r="G125" s="15"/>
      <c r="H125" s="300"/>
      <c r="I125" s="76"/>
      <c r="J125" s="76"/>
      <c r="K125" s="302"/>
      <c r="L125" s="124"/>
      <c r="M125" s="397"/>
      <c r="N125" s="76"/>
      <c r="O125" s="31"/>
      <c r="P125" s="78"/>
      <c r="Q125" s="397"/>
      <c r="R125" s="76"/>
      <c r="S125" s="77"/>
      <c r="T125" s="49"/>
      <c r="U125" s="53"/>
      <c r="V125" s="75"/>
      <c r="W125" s="448"/>
      <c r="X125" s="177"/>
      <c r="Y125" s="178"/>
      <c r="Z125" s="141"/>
      <c r="AA125" s="34"/>
      <c r="AB125" s="177"/>
      <c r="AC125" s="178"/>
      <c r="AD125" s="141"/>
      <c r="AE125" s="34"/>
    </row>
    <row r="126" spans="1:31" ht="12">
      <c r="A126" s="74" t="s">
        <v>255</v>
      </c>
      <c r="B126" s="15"/>
      <c r="C126" s="15"/>
      <c r="D126" s="15" t="s">
        <v>14</v>
      </c>
      <c r="E126" s="15"/>
      <c r="F126" s="15"/>
      <c r="G126" s="15"/>
      <c r="H126" s="300"/>
      <c r="I126" s="76"/>
      <c r="J126" s="76"/>
      <c r="K126" s="302"/>
      <c r="L126" s="124"/>
      <c r="M126" s="397"/>
      <c r="N126" s="76"/>
      <c r="O126" s="31"/>
      <c r="P126" s="78"/>
      <c r="Q126" s="397"/>
      <c r="R126" s="76"/>
      <c r="S126" s="77"/>
      <c r="T126" s="49"/>
      <c r="U126" s="53"/>
      <c r="V126" s="75"/>
      <c r="W126" s="448"/>
      <c r="X126" s="177"/>
      <c r="Y126" s="178"/>
      <c r="Z126" s="141"/>
      <c r="AA126" s="34"/>
      <c r="AB126" s="177"/>
      <c r="AC126" s="178"/>
      <c r="AD126" s="141"/>
      <c r="AE126" s="34"/>
    </row>
    <row r="127" spans="1:31" ht="12">
      <c r="A127" s="74"/>
      <c r="B127" s="15"/>
      <c r="C127" s="15" t="s">
        <v>16</v>
      </c>
      <c r="D127" s="15"/>
      <c r="E127" s="15"/>
      <c r="F127" s="15"/>
      <c r="G127" s="15"/>
      <c r="H127" s="300">
        <f>SUM(H117:H126)</f>
        <v>0</v>
      </c>
      <c r="I127" s="76">
        <f>SUM(I117:I126)</f>
        <v>0</v>
      </c>
      <c r="J127" s="76">
        <f>SUM(J117:J126)</f>
        <v>0</v>
      </c>
      <c r="K127" s="302">
        <f>SUM(K118:K126)</f>
        <v>45253.2</v>
      </c>
      <c r="L127" s="124" t="str">
        <f>L118</f>
        <v>ac</v>
      </c>
      <c r="M127" s="397">
        <f>M118</f>
        <v>17.2</v>
      </c>
      <c r="N127" s="95">
        <f>O127/M127</f>
        <v>2631</v>
      </c>
      <c r="O127" s="31">
        <f>SUM(O117:O126)</f>
        <v>45253.2</v>
      </c>
      <c r="P127" s="78" t="str">
        <f>P118</f>
        <v>ac</v>
      </c>
      <c r="Q127" s="397">
        <f>Q118</f>
        <v>17.2</v>
      </c>
      <c r="R127" s="95">
        <f>S127/Q127</f>
        <v>2631</v>
      </c>
      <c r="S127" s="77">
        <f>SUM(S117:S126)</f>
        <v>45253.2</v>
      </c>
      <c r="T127" s="49" t="str">
        <f>T118</f>
        <v>ac</v>
      </c>
      <c r="U127" s="397">
        <f>U118</f>
        <v>17.2</v>
      </c>
      <c r="V127" s="95">
        <f>W127/U127</f>
        <v>3882</v>
      </c>
      <c r="W127" s="77">
        <f>SUM(W117:W126)</f>
        <v>66770.4</v>
      </c>
      <c r="X127" s="177" t="str">
        <f>X118</f>
        <v>ac</v>
      </c>
      <c r="Y127" s="398">
        <f>Y118</f>
        <v>17.2</v>
      </c>
      <c r="Z127" s="188">
        <f>AA127/Y127</f>
        <v>3882</v>
      </c>
      <c r="AA127" s="139">
        <f>SUM(AA117:AA126)</f>
        <v>66770.4</v>
      </c>
      <c r="AB127" s="177" t="str">
        <f>AB118</f>
        <v>ac</v>
      </c>
      <c r="AC127" s="398">
        <f>AC118</f>
        <v>17.2</v>
      </c>
      <c r="AD127" s="188">
        <f>AE127/AC127</f>
        <v>3882</v>
      </c>
      <c r="AE127" s="139">
        <f>SUM(AE117:AE126)</f>
        <v>66770.4</v>
      </c>
    </row>
    <row r="128" spans="1:31" ht="12">
      <c r="A128" s="74"/>
      <c r="B128" s="15"/>
      <c r="C128" s="15" t="s">
        <v>10</v>
      </c>
      <c r="D128" s="15"/>
      <c r="E128" s="15"/>
      <c r="F128" s="15"/>
      <c r="G128" s="15"/>
      <c r="H128" s="300"/>
      <c r="I128" s="76"/>
      <c r="J128" s="76"/>
      <c r="K128" s="302"/>
      <c r="L128" s="124"/>
      <c r="M128" s="397"/>
      <c r="N128" s="76"/>
      <c r="O128" s="31"/>
      <c r="P128" s="78"/>
      <c r="Q128" s="397"/>
      <c r="R128" s="76"/>
      <c r="S128" s="77"/>
      <c r="T128" s="140"/>
      <c r="U128" s="178"/>
      <c r="V128" s="141"/>
      <c r="W128" s="34"/>
      <c r="X128" s="177"/>
      <c r="Y128" s="178"/>
      <c r="Z128" s="141"/>
      <c r="AA128" s="34"/>
      <c r="AB128" s="177"/>
      <c r="AC128" s="178"/>
      <c r="AD128" s="141"/>
      <c r="AE128" s="34"/>
    </row>
    <row r="129" spans="1:31" ht="12">
      <c r="A129" s="74" t="s">
        <v>256</v>
      </c>
      <c r="B129" s="15"/>
      <c r="C129" s="15"/>
      <c r="D129" s="15" t="s">
        <v>17</v>
      </c>
      <c r="E129" s="15"/>
      <c r="F129" s="15"/>
      <c r="G129" s="15"/>
      <c r="H129" s="300"/>
      <c r="I129" s="76"/>
      <c r="J129" s="76"/>
      <c r="K129" s="302"/>
      <c r="L129" s="124"/>
      <c r="M129" s="397"/>
      <c r="N129" s="76"/>
      <c r="O129" s="31"/>
      <c r="P129" s="78"/>
      <c r="Q129" s="397"/>
      <c r="R129" s="76"/>
      <c r="S129" s="77"/>
      <c r="T129" s="140"/>
      <c r="U129" s="178"/>
      <c r="V129" s="88"/>
      <c r="W129" s="34"/>
      <c r="X129" s="177"/>
      <c r="Y129" s="178"/>
      <c r="Z129" s="88"/>
      <c r="AA129" s="34"/>
      <c r="AB129" s="177"/>
      <c r="AC129" s="178"/>
      <c r="AD129" s="88"/>
      <c r="AE129" s="34"/>
    </row>
    <row r="130" spans="1:31" ht="12">
      <c r="A130" s="74" t="s">
        <v>257</v>
      </c>
      <c r="B130" s="15"/>
      <c r="C130" s="15"/>
      <c r="D130" s="15" t="s">
        <v>18</v>
      </c>
      <c r="E130" s="15"/>
      <c r="F130" s="15"/>
      <c r="G130" s="15"/>
      <c r="H130" s="300"/>
      <c r="I130" s="76"/>
      <c r="J130" s="76"/>
      <c r="K130" s="302">
        <v>9030</v>
      </c>
      <c r="L130" s="124" t="s">
        <v>9</v>
      </c>
      <c r="M130" s="397">
        <v>17.2</v>
      </c>
      <c r="N130" s="95">
        <f>O130/M130</f>
        <v>525</v>
      </c>
      <c r="O130" s="31">
        <f>K130</f>
        <v>9030</v>
      </c>
      <c r="P130" s="78" t="s">
        <v>9</v>
      </c>
      <c r="Q130" s="397">
        <v>17.2</v>
      </c>
      <c r="R130" s="95">
        <f>S130/Q130</f>
        <v>525</v>
      </c>
      <c r="S130" s="77">
        <f>O130</f>
        <v>9030</v>
      </c>
      <c r="T130" s="140" t="str">
        <f>P130</f>
        <v>ac</v>
      </c>
      <c r="U130" s="398">
        <f>Q130</f>
        <v>17.2</v>
      </c>
      <c r="V130" s="188">
        <v>1500</v>
      </c>
      <c r="W130" s="139">
        <f>U130*V130</f>
        <v>25800</v>
      </c>
      <c r="X130" s="177" t="str">
        <f>T130</f>
        <v>ac</v>
      </c>
      <c r="Y130" s="398">
        <f>U130</f>
        <v>17.2</v>
      </c>
      <c r="Z130" s="188">
        <v>1500</v>
      </c>
      <c r="AA130" s="139">
        <f>Y130*Z130</f>
        <v>25800</v>
      </c>
      <c r="AB130" s="177" t="str">
        <f>X130</f>
        <v>ac</v>
      </c>
      <c r="AC130" s="398">
        <f>Y130</f>
        <v>17.2</v>
      </c>
      <c r="AD130" s="188">
        <v>1500</v>
      </c>
      <c r="AE130" s="139">
        <f>AC130*AD130</f>
        <v>25800</v>
      </c>
    </row>
    <row r="131" spans="1:31" ht="12">
      <c r="A131" s="74"/>
      <c r="B131" s="15"/>
      <c r="C131" s="15" t="s">
        <v>15</v>
      </c>
      <c r="D131" s="15"/>
      <c r="E131" s="15"/>
      <c r="F131" s="15"/>
      <c r="G131" s="15"/>
      <c r="H131" s="300"/>
      <c r="I131" s="76"/>
      <c r="J131" s="76"/>
      <c r="K131" s="302"/>
      <c r="L131" s="124"/>
      <c r="M131" s="397"/>
      <c r="N131" s="76"/>
      <c r="O131" s="31"/>
      <c r="P131" s="78"/>
      <c r="Q131" s="397"/>
      <c r="R131" s="76"/>
      <c r="S131" s="77"/>
      <c r="T131" s="140"/>
      <c r="U131" s="178"/>
      <c r="V131" s="88"/>
      <c r="W131" s="34"/>
      <c r="X131" s="177"/>
      <c r="Y131" s="178"/>
      <c r="Z131" s="88"/>
      <c r="AA131" s="34"/>
      <c r="AB131" s="177"/>
      <c r="AC131" s="178"/>
      <c r="AD131" s="88"/>
      <c r="AE131" s="34"/>
    </row>
    <row r="132" spans="1:31" ht="12">
      <c r="A132" s="74" t="s">
        <v>258</v>
      </c>
      <c r="B132" s="15"/>
      <c r="C132" s="15"/>
      <c r="D132" s="15" t="s">
        <v>17</v>
      </c>
      <c r="E132" s="15"/>
      <c r="F132" s="15"/>
      <c r="G132" s="15"/>
      <c r="H132" s="300"/>
      <c r="I132" s="76"/>
      <c r="J132" s="76"/>
      <c r="K132" s="302"/>
      <c r="L132" s="124"/>
      <c r="M132" s="397"/>
      <c r="N132" s="76"/>
      <c r="O132" s="31"/>
      <c r="P132" s="78"/>
      <c r="Q132" s="397"/>
      <c r="R132" s="76"/>
      <c r="S132" s="77"/>
      <c r="T132" s="140"/>
      <c r="U132" s="178"/>
      <c r="V132" s="88"/>
      <c r="W132" s="34"/>
      <c r="X132" s="177"/>
      <c r="Y132" s="178"/>
      <c r="Z132" s="88"/>
      <c r="AA132" s="34"/>
      <c r="AB132" s="177"/>
      <c r="AC132" s="178"/>
      <c r="AD132" s="88"/>
      <c r="AE132" s="34"/>
    </row>
    <row r="133" spans="1:31" ht="12">
      <c r="A133" s="74" t="s">
        <v>259</v>
      </c>
      <c r="B133" s="15"/>
      <c r="C133" s="15"/>
      <c r="D133" s="15" t="s">
        <v>19</v>
      </c>
      <c r="E133" s="15"/>
      <c r="F133" s="15"/>
      <c r="G133" s="15"/>
      <c r="H133" s="303"/>
      <c r="I133" s="76"/>
      <c r="J133" s="76"/>
      <c r="K133" s="302"/>
      <c r="L133" s="124"/>
      <c r="M133" s="397"/>
      <c r="N133" s="76"/>
      <c r="O133" s="31"/>
      <c r="P133" s="78"/>
      <c r="Q133" s="397"/>
      <c r="R133" s="76"/>
      <c r="S133" s="77"/>
      <c r="T133" s="140"/>
      <c r="U133" s="178"/>
      <c r="V133" s="88"/>
      <c r="W133" s="34"/>
      <c r="X133" s="177"/>
      <c r="Y133" s="178"/>
      <c r="Z133" s="88"/>
      <c r="AA133" s="34"/>
      <c r="AB133" s="177"/>
      <c r="AC133" s="178"/>
      <c r="AD133" s="88"/>
      <c r="AE133" s="34"/>
    </row>
    <row r="134" spans="1:31" ht="12">
      <c r="A134" s="74"/>
      <c r="B134" s="15"/>
      <c r="C134" s="15" t="s">
        <v>20</v>
      </c>
      <c r="D134" s="15"/>
      <c r="E134" s="15"/>
      <c r="F134" s="15"/>
      <c r="G134" s="15"/>
      <c r="H134" s="300">
        <f>SUM(H128:H133)</f>
        <v>0</v>
      </c>
      <c r="I134" s="76">
        <f>SUM(I128:I133)</f>
        <v>0</v>
      </c>
      <c r="J134" s="76">
        <f>SUM(J128:J133)</f>
        <v>0</v>
      </c>
      <c r="K134" s="302">
        <f>SUM(K129:K133)</f>
        <v>9030</v>
      </c>
      <c r="L134" s="124" t="str">
        <f>L130</f>
        <v>ac</v>
      </c>
      <c r="M134" s="397">
        <f>M130</f>
        <v>17.2</v>
      </c>
      <c r="N134" s="95">
        <f>O134/M134</f>
        <v>525</v>
      </c>
      <c r="O134" s="31">
        <f>SUM(O128:O133)</f>
        <v>9030</v>
      </c>
      <c r="P134" s="78" t="str">
        <f>P130</f>
        <v>ac</v>
      </c>
      <c r="Q134" s="397">
        <f>Q130</f>
        <v>17.2</v>
      </c>
      <c r="R134" s="95">
        <f>S134/Q134</f>
        <v>525</v>
      </c>
      <c r="S134" s="77">
        <f>SUM(S128:S133)</f>
        <v>9030</v>
      </c>
      <c r="T134" s="140" t="str">
        <f>T130</f>
        <v>ac</v>
      </c>
      <c r="U134" s="398">
        <f>U130</f>
        <v>17.2</v>
      </c>
      <c r="V134" s="188">
        <f>W134/U134</f>
        <v>1500</v>
      </c>
      <c r="W134" s="139">
        <f>SUM(W128:W133)</f>
        <v>25800</v>
      </c>
      <c r="X134" s="177" t="str">
        <f>X130</f>
        <v>ac</v>
      </c>
      <c r="Y134" s="398">
        <f>Y130</f>
        <v>17.2</v>
      </c>
      <c r="Z134" s="188">
        <f>AA134/Y134</f>
        <v>1500</v>
      </c>
      <c r="AA134" s="139">
        <f>SUM(AA128:AA133)</f>
        <v>25800</v>
      </c>
      <c r="AB134" s="177" t="str">
        <f>AB130</f>
        <v>ac</v>
      </c>
      <c r="AC134" s="398">
        <f>AC130</f>
        <v>17.2</v>
      </c>
      <c r="AD134" s="188">
        <f>AE134/AC134</f>
        <v>1500</v>
      </c>
      <c r="AE134" s="139">
        <f>SUM(AE128:AE133)</f>
        <v>25800</v>
      </c>
    </row>
    <row r="135" spans="1:31" ht="12">
      <c r="A135" s="74"/>
      <c r="B135" s="15" t="s">
        <v>191</v>
      </c>
      <c r="C135" s="15"/>
      <c r="D135" s="15"/>
      <c r="E135" s="15"/>
      <c r="F135" s="15"/>
      <c r="G135" s="15"/>
      <c r="H135" s="300">
        <f>H127+H134+H116</f>
        <v>173000</v>
      </c>
      <c r="I135" s="76">
        <f>I127+I134+I116</f>
        <v>142000</v>
      </c>
      <c r="J135" s="76">
        <f>J127+J134+J116</f>
        <v>0</v>
      </c>
      <c r="K135" s="302">
        <f>K127+K134+K116</f>
        <v>369283.2</v>
      </c>
      <c r="L135" s="124" t="s">
        <v>9</v>
      </c>
      <c r="M135" s="397">
        <f>M127</f>
        <v>17.2</v>
      </c>
      <c r="N135" s="95">
        <f>O135/M135</f>
        <v>21469.953488372095</v>
      </c>
      <c r="O135" s="31">
        <f>O127+O134+O116</f>
        <v>369283.2</v>
      </c>
      <c r="P135" s="78" t="s">
        <v>9</v>
      </c>
      <c r="Q135" s="397">
        <f>Q127</f>
        <v>17.2</v>
      </c>
      <c r="R135" s="95">
        <f>S135/Q135</f>
        <v>21469.953488372095</v>
      </c>
      <c r="S135" s="77">
        <f>S127+S134+S116</f>
        <v>369283.2</v>
      </c>
      <c r="T135" s="140" t="s">
        <v>9</v>
      </c>
      <c r="U135" s="398">
        <f>U127</f>
        <v>17.2</v>
      </c>
      <c r="V135" s="188">
        <f>W135/U135</f>
        <v>23695.953488372095</v>
      </c>
      <c r="W135" s="139">
        <f>W127+W134+W116</f>
        <v>407570.4</v>
      </c>
      <c r="X135" s="177" t="s">
        <v>9</v>
      </c>
      <c r="Y135" s="398">
        <f>Y127</f>
        <v>17.2</v>
      </c>
      <c r="Z135" s="188">
        <f>AA135/Y135</f>
        <v>23695.953488372095</v>
      </c>
      <c r="AA135" s="139">
        <f>AA127+AA134+AA116</f>
        <v>407570.4</v>
      </c>
      <c r="AB135" s="177" t="s">
        <v>9</v>
      </c>
      <c r="AC135" s="398">
        <f>AC127</f>
        <v>17.2</v>
      </c>
      <c r="AD135" s="188">
        <f>AE135/AC135</f>
        <v>23695.953488372095</v>
      </c>
      <c r="AE135" s="139">
        <f>AE127+AE134+AE116</f>
        <v>407570.4</v>
      </c>
    </row>
    <row r="136" spans="1:31" ht="12">
      <c r="A136" s="74"/>
      <c r="B136" s="15"/>
      <c r="C136" s="15"/>
      <c r="D136" s="15"/>
      <c r="E136" s="15"/>
      <c r="F136" s="15"/>
      <c r="G136" s="15"/>
      <c r="H136" s="300"/>
      <c r="I136" s="76"/>
      <c r="J136" s="76"/>
      <c r="K136" s="302"/>
      <c r="L136" s="124"/>
      <c r="M136" s="397"/>
      <c r="N136" s="76"/>
      <c r="O136" s="31"/>
      <c r="P136" s="78"/>
      <c r="Q136" s="397"/>
      <c r="R136" s="76"/>
      <c r="S136" s="77"/>
      <c r="T136" s="273"/>
      <c r="U136" s="232"/>
      <c r="V136" s="233"/>
      <c r="W136" s="338"/>
      <c r="X136" s="231"/>
      <c r="Y136" s="232"/>
      <c r="Z136" s="233"/>
      <c r="AA136" s="338"/>
      <c r="AB136" s="231"/>
      <c r="AC136" s="232"/>
      <c r="AD136" s="233"/>
      <c r="AE136" s="338"/>
    </row>
    <row r="137" spans="1:31" ht="12">
      <c r="A137" s="74" t="s">
        <v>54</v>
      </c>
      <c r="B137" s="86" t="s">
        <v>192</v>
      </c>
      <c r="C137" s="86"/>
      <c r="D137" s="15"/>
      <c r="E137" s="15"/>
      <c r="F137" s="15"/>
      <c r="G137" s="15"/>
      <c r="H137" s="300"/>
      <c r="I137" s="76"/>
      <c r="J137" s="76"/>
      <c r="K137" s="302"/>
      <c r="L137" s="124"/>
      <c r="M137" s="397"/>
      <c r="N137" s="76"/>
      <c r="O137" s="31"/>
      <c r="P137" s="78"/>
      <c r="Q137" s="397"/>
      <c r="R137" s="76"/>
      <c r="S137" s="77"/>
      <c r="T137" s="273"/>
      <c r="U137" s="235"/>
      <c r="V137" s="233"/>
      <c r="W137" s="236"/>
      <c r="X137" s="231"/>
      <c r="Y137" s="235"/>
      <c r="Z137" s="233"/>
      <c r="AA137" s="236"/>
      <c r="AB137" s="231"/>
      <c r="AC137" s="235"/>
      <c r="AD137" s="233"/>
      <c r="AE137" s="236"/>
    </row>
    <row r="138" spans="1:31" ht="12">
      <c r="A138" s="74" t="s">
        <v>83</v>
      </c>
      <c r="B138" s="86"/>
      <c r="C138" s="15" t="s">
        <v>30</v>
      </c>
      <c r="D138" s="15"/>
      <c r="E138" s="15"/>
      <c r="F138" s="15"/>
      <c r="G138" s="15"/>
      <c r="H138" s="300">
        <v>56000</v>
      </c>
      <c r="I138" s="76">
        <v>55000</v>
      </c>
      <c r="J138" s="76"/>
      <c r="K138" s="302">
        <f>H138+I138+J138</f>
        <v>111000</v>
      </c>
      <c r="L138" s="124" t="s">
        <v>139</v>
      </c>
      <c r="M138" s="53">
        <v>1</v>
      </c>
      <c r="N138" s="76"/>
      <c r="O138" s="31">
        <f>K138</f>
        <v>111000</v>
      </c>
      <c r="P138" s="78" t="s">
        <v>139</v>
      </c>
      <c r="Q138" s="53">
        <v>1</v>
      </c>
      <c r="R138" s="76"/>
      <c r="S138" s="77">
        <f>O138</f>
        <v>111000</v>
      </c>
      <c r="T138" s="140" t="str">
        <f>P138</f>
        <v>lot</v>
      </c>
      <c r="U138" s="178">
        <f>Q138</f>
        <v>1</v>
      </c>
      <c r="V138" s="138"/>
      <c r="W138" s="34">
        <f>S138</f>
        <v>111000</v>
      </c>
      <c r="X138" s="177" t="str">
        <f>T138</f>
        <v>lot</v>
      </c>
      <c r="Y138" s="178">
        <f>U138</f>
        <v>1</v>
      </c>
      <c r="Z138" s="138"/>
      <c r="AA138" s="34">
        <f>W138</f>
        <v>111000</v>
      </c>
      <c r="AB138" s="177" t="str">
        <f>X138</f>
        <v>lot</v>
      </c>
      <c r="AC138" s="178">
        <f>Y138</f>
        <v>1</v>
      </c>
      <c r="AD138" s="138"/>
      <c r="AE138" s="34">
        <f>AA138</f>
        <v>111000</v>
      </c>
    </row>
    <row r="139" spans="1:31" ht="12">
      <c r="A139" s="74"/>
      <c r="B139" s="15"/>
      <c r="C139" s="15" t="s">
        <v>10</v>
      </c>
      <c r="D139" s="15"/>
      <c r="E139" s="15"/>
      <c r="F139" s="15"/>
      <c r="G139" s="15"/>
      <c r="H139" s="300"/>
      <c r="I139" s="76"/>
      <c r="J139" s="76"/>
      <c r="K139" s="302"/>
      <c r="L139" s="124"/>
      <c r="M139" s="397"/>
      <c r="N139" s="76"/>
      <c r="O139" s="31"/>
      <c r="P139" s="78"/>
      <c r="Q139" s="397"/>
      <c r="R139" s="76"/>
      <c r="S139" s="77"/>
      <c r="T139" s="49"/>
      <c r="U139" s="53"/>
      <c r="V139" s="76"/>
      <c r="W139" s="77"/>
      <c r="X139" s="177"/>
      <c r="Y139" s="178"/>
      <c r="Z139" s="138"/>
      <c r="AA139" s="139"/>
      <c r="AB139" s="177"/>
      <c r="AC139" s="178"/>
      <c r="AD139" s="138"/>
      <c r="AE139" s="139"/>
    </row>
    <row r="140" spans="1:31" ht="12">
      <c r="A140" s="74" t="s">
        <v>84</v>
      </c>
      <c r="B140" s="15"/>
      <c r="C140" s="15"/>
      <c r="D140" s="15" t="s">
        <v>11</v>
      </c>
      <c r="E140" s="15"/>
      <c r="F140" s="15"/>
      <c r="G140" s="15"/>
      <c r="H140" s="300"/>
      <c r="I140" s="76"/>
      <c r="J140" s="76"/>
      <c r="K140" s="302">
        <v>896.4</v>
      </c>
      <c r="L140" s="124" t="s">
        <v>9</v>
      </c>
      <c r="M140" s="397">
        <v>3.6</v>
      </c>
      <c r="N140" s="95">
        <f>O140/M140</f>
        <v>249</v>
      </c>
      <c r="O140" s="31">
        <f>K140</f>
        <v>896.4</v>
      </c>
      <c r="P140" s="78" t="s">
        <v>9</v>
      </c>
      <c r="Q140" s="397">
        <v>3.6</v>
      </c>
      <c r="R140" s="95">
        <f>S140/Q140</f>
        <v>249</v>
      </c>
      <c r="S140" s="77">
        <f aca="true" t="shared" si="6" ref="S140:U141">O140</f>
        <v>896.4</v>
      </c>
      <c r="T140" s="49" t="str">
        <f t="shared" si="6"/>
        <v>ac</v>
      </c>
      <c r="U140" s="397">
        <f t="shared" si="6"/>
        <v>3.6</v>
      </c>
      <c r="V140" s="188">
        <v>1500</v>
      </c>
      <c r="W140" s="139">
        <f>U140*V140</f>
        <v>5400</v>
      </c>
      <c r="X140" s="177" t="str">
        <f>T140</f>
        <v>ac</v>
      </c>
      <c r="Y140" s="398">
        <f>U140</f>
        <v>3.6</v>
      </c>
      <c r="Z140" s="188">
        <v>1500</v>
      </c>
      <c r="AA140" s="139">
        <f>Y140*Z140</f>
        <v>5400</v>
      </c>
      <c r="AB140" s="177" t="str">
        <f>X140</f>
        <v>ac</v>
      </c>
      <c r="AC140" s="398">
        <f>Y140</f>
        <v>3.6</v>
      </c>
      <c r="AD140" s="188">
        <v>1500</v>
      </c>
      <c r="AE140" s="139">
        <f>AC140*AD140</f>
        <v>5400</v>
      </c>
    </row>
    <row r="141" spans="1:31" ht="12">
      <c r="A141" s="74" t="s">
        <v>85</v>
      </c>
      <c r="B141" s="15"/>
      <c r="C141" s="15"/>
      <c r="D141" s="15" t="s">
        <v>12</v>
      </c>
      <c r="E141" s="15"/>
      <c r="F141" s="15"/>
      <c r="G141" s="15"/>
      <c r="H141" s="300"/>
      <c r="I141" s="76"/>
      <c r="J141" s="76"/>
      <c r="K141" s="302">
        <v>2556</v>
      </c>
      <c r="L141" s="124" t="s">
        <v>9</v>
      </c>
      <c r="M141" s="397">
        <v>3.6</v>
      </c>
      <c r="N141" s="95">
        <f>O141/M141</f>
        <v>710</v>
      </c>
      <c r="O141" s="31">
        <f>K141</f>
        <v>2556</v>
      </c>
      <c r="P141" s="78" t="s">
        <v>9</v>
      </c>
      <c r="Q141" s="397">
        <v>3.6</v>
      </c>
      <c r="R141" s="95">
        <f>S141/Q141</f>
        <v>710</v>
      </c>
      <c r="S141" s="77">
        <f t="shared" si="6"/>
        <v>2556</v>
      </c>
      <c r="T141" s="49" t="str">
        <f t="shared" si="6"/>
        <v>ac</v>
      </c>
      <c r="U141" s="397">
        <f t="shared" si="6"/>
        <v>3.6</v>
      </c>
      <c r="V141" s="138">
        <v>710</v>
      </c>
      <c r="W141" s="139">
        <f>U141*V141</f>
        <v>2556</v>
      </c>
      <c r="X141" s="177" t="str">
        <f>T141</f>
        <v>ac</v>
      </c>
      <c r="Y141" s="398">
        <f>U141</f>
        <v>3.6</v>
      </c>
      <c r="Z141" s="138">
        <v>710</v>
      </c>
      <c r="AA141" s="139">
        <f>Y141*Z141</f>
        <v>2556</v>
      </c>
      <c r="AB141" s="177" t="str">
        <f>X141</f>
        <v>ac</v>
      </c>
      <c r="AC141" s="398">
        <f>Y141</f>
        <v>3.6</v>
      </c>
      <c r="AD141" s="138">
        <v>710</v>
      </c>
      <c r="AE141" s="139">
        <f>AC141*AD141</f>
        <v>2556</v>
      </c>
    </row>
    <row r="142" spans="1:31" ht="12">
      <c r="A142" s="74" t="s">
        <v>260</v>
      </c>
      <c r="B142" s="15"/>
      <c r="C142" s="15"/>
      <c r="D142" s="15" t="s">
        <v>13</v>
      </c>
      <c r="E142" s="15"/>
      <c r="F142" s="15"/>
      <c r="G142" s="15"/>
      <c r="H142" s="303"/>
      <c r="I142" s="73"/>
      <c r="J142" s="73"/>
      <c r="K142" s="304"/>
      <c r="L142" s="124"/>
      <c r="M142" s="397"/>
      <c r="N142" s="95"/>
      <c r="O142" s="31"/>
      <c r="P142" s="78"/>
      <c r="Q142" s="397"/>
      <c r="R142" s="95"/>
      <c r="S142" s="77"/>
      <c r="T142" s="49"/>
      <c r="U142" s="53"/>
      <c r="V142" s="188"/>
      <c r="W142" s="139"/>
      <c r="X142" s="177"/>
      <c r="Y142" s="178"/>
      <c r="Z142" s="188"/>
      <c r="AA142" s="139"/>
      <c r="AB142" s="177"/>
      <c r="AC142" s="178"/>
      <c r="AD142" s="188"/>
      <c r="AE142" s="139"/>
    </row>
    <row r="143" spans="1:31" ht="12">
      <c r="A143" s="74" t="s">
        <v>261</v>
      </c>
      <c r="B143" s="15"/>
      <c r="C143" s="15"/>
      <c r="D143" s="15" t="s">
        <v>14</v>
      </c>
      <c r="E143" s="15"/>
      <c r="F143" s="15"/>
      <c r="G143" s="15"/>
      <c r="H143" s="300"/>
      <c r="I143" s="76"/>
      <c r="J143" s="76"/>
      <c r="K143" s="302">
        <v>6019.2</v>
      </c>
      <c r="L143" s="124" t="s">
        <v>9</v>
      </c>
      <c r="M143" s="397">
        <v>3.6</v>
      </c>
      <c r="N143" s="95">
        <f>O143/M143</f>
        <v>1672</v>
      </c>
      <c r="O143" s="31">
        <f>K143</f>
        <v>6019.2</v>
      </c>
      <c r="P143" s="78" t="s">
        <v>9</v>
      </c>
      <c r="Q143" s="397">
        <v>3.6</v>
      </c>
      <c r="R143" s="95">
        <f>S143/Q143</f>
        <v>1672</v>
      </c>
      <c r="S143" s="77">
        <f>O143</f>
        <v>6019.2</v>
      </c>
      <c r="T143" s="49" t="str">
        <f>P143</f>
        <v>ac</v>
      </c>
      <c r="U143" s="397">
        <f>Q143</f>
        <v>3.6</v>
      </c>
      <c r="V143" s="95">
        <v>1672</v>
      </c>
      <c r="W143" s="139">
        <f>U143*V143</f>
        <v>6019.2</v>
      </c>
      <c r="X143" s="177" t="str">
        <f>T143</f>
        <v>ac</v>
      </c>
      <c r="Y143" s="398">
        <f>U143</f>
        <v>3.6</v>
      </c>
      <c r="Z143" s="188">
        <v>1672</v>
      </c>
      <c r="AA143" s="139">
        <f>Y143*Z143</f>
        <v>6019.2</v>
      </c>
      <c r="AB143" s="177" t="str">
        <f>X143</f>
        <v>ac</v>
      </c>
      <c r="AC143" s="398">
        <f>Y143</f>
        <v>3.6</v>
      </c>
      <c r="AD143" s="188">
        <v>1672</v>
      </c>
      <c r="AE143" s="139">
        <f>AC143*AD143</f>
        <v>6019.2</v>
      </c>
    </row>
    <row r="144" spans="1:31" ht="12">
      <c r="A144" s="74"/>
      <c r="B144" s="15"/>
      <c r="C144" s="15" t="s">
        <v>15</v>
      </c>
      <c r="D144" s="15"/>
      <c r="E144" s="15"/>
      <c r="F144" s="15"/>
      <c r="G144" s="15"/>
      <c r="H144" s="300"/>
      <c r="I144" s="76"/>
      <c r="J144" s="76"/>
      <c r="K144" s="302"/>
      <c r="L144" s="124"/>
      <c r="M144" s="397"/>
      <c r="N144" s="76"/>
      <c r="O144" s="31"/>
      <c r="P144" s="78"/>
      <c r="Q144" s="397"/>
      <c r="R144" s="76"/>
      <c r="S144" s="77"/>
      <c r="T144" s="49"/>
      <c r="U144" s="53"/>
      <c r="V144" s="75"/>
      <c r="W144" s="448"/>
      <c r="X144" s="177"/>
      <c r="Y144" s="178"/>
      <c r="Z144" s="141"/>
      <c r="AA144" s="34"/>
      <c r="AB144" s="177"/>
      <c r="AC144" s="178"/>
      <c r="AD144" s="141"/>
      <c r="AE144" s="34"/>
    </row>
    <row r="145" spans="1:31" ht="12">
      <c r="A145" s="74" t="s">
        <v>262</v>
      </c>
      <c r="B145" s="15"/>
      <c r="C145" s="15"/>
      <c r="D145" s="15" t="s">
        <v>11</v>
      </c>
      <c r="E145" s="15"/>
      <c r="F145" s="15"/>
      <c r="G145" s="15"/>
      <c r="H145" s="300"/>
      <c r="I145" s="76"/>
      <c r="J145" s="76"/>
      <c r="K145" s="302"/>
      <c r="L145" s="124"/>
      <c r="M145" s="397"/>
      <c r="N145" s="76"/>
      <c r="O145" s="31"/>
      <c r="P145" s="78"/>
      <c r="Q145" s="397"/>
      <c r="R145" s="76"/>
      <c r="S145" s="77"/>
      <c r="T145" s="49"/>
      <c r="U145" s="53"/>
      <c r="V145" s="75"/>
      <c r="W145" s="448"/>
      <c r="X145" s="177"/>
      <c r="Y145" s="178"/>
      <c r="Z145" s="141"/>
      <c r="AA145" s="34"/>
      <c r="AB145" s="177"/>
      <c r="AC145" s="178"/>
      <c r="AD145" s="141"/>
      <c r="AE145" s="34"/>
    </row>
    <row r="146" spans="1:31" ht="12">
      <c r="A146" s="74" t="s">
        <v>263</v>
      </c>
      <c r="B146" s="15"/>
      <c r="C146" s="15"/>
      <c r="D146" s="15" t="s">
        <v>12</v>
      </c>
      <c r="E146" s="15"/>
      <c r="F146" s="15"/>
      <c r="G146" s="15"/>
      <c r="H146" s="300"/>
      <c r="I146" s="76"/>
      <c r="J146" s="76"/>
      <c r="K146" s="302"/>
      <c r="L146" s="124"/>
      <c r="M146" s="397"/>
      <c r="N146" s="76"/>
      <c r="O146" s="31"/>
      <c r="P146" s="78"/>
      <c r="Q146" s="397"/>
      <c r="R146" s="76"/>
      <c r="S146" s="77"/>
      <c r="T146" s="49"/>
      <c r="U146" s="53"/>
      <c r="V146" s="84"/>
      <c r="W146" s="448"/>
      <c r="X146" s="177"/>
      <c r="Y146" s="178"/>
      <c r="Z146" s="88"/>
      <c r="AA146" s="34"/>
      <c r="AB146" s="177"/>
      <c r="AC146" s="178"/>
      <c r="AD146" s="88"/>
      <c r="AE146" s="34"/>
    </row>
    <row r="147" spans="1:31" ht="12">
      <c r="A147" s="74" t="s">
        <v>264</v>
      </c>
      <c r="B147" s="15"/>
      <c r="C147" s="15"/>
      <c r="D147" s="15" t="s">
        <v>13</v>
      </c>
      <c r="E147" s="15"/>
      <c r="F147" s="15"/>
      <c r="G147" s="15"/>
      <c r="H147" s="300"/>
      <c r="I147" s="76"/>
      <c r="J147" s="76"/>
      <c r="K147" s="302"/>
      <c r="L147" s="124"/>
      <c r="M147" s="397"/>
      <c r="N147" s="76"/>
      <c r="O147" s="31"/>
      <c r="P147" s="78"/>
      <c r="Q147" s="397"/>
      <c r="R147" s="76"/>
      <c r="S147" s="77"/>
      <c r="T147" s="49"/>
      <c r="U147" s="53"/>
      <c r="V147" s="75"/>
      <c r="W147" s="448"/>
      <c r="X147" s="177"/>
      <c r="Y147" s="178"/>
      <c r="Z147" s="141"/>
      <c r="AA147" s="34"/>
      <c r="AB147" s="177"/>
      <c r="AC147" s="178"/>
      <c r="AD147" s="141"/>
      <c r="AE147" s="34"/>
    </row>
    <row r="148" spans="1:31" ht="12">
      <c r="A148" s="74" t="s">
        <v>265</v>
      </c>
      <c r="B148" s="15"/>
      <c r="C148" s="15"/>
      <c r="D148" s="15" t="s">
        <v>14</v>
      </c>
      <c r="E148" s="15"/>
      <c r="F148" s="15"/>
      <c r="G148" s="15"/>
      <c r="H148" s="300"/>
      <c r="I148" s="76"/>
      <c r="J148" s="76"/>
      <c r="K148" s="302"/>
      <c r="L148" s="124"/>
      <c r="M148" s="397"/>
      <c r="N148" s="76"/>
      <c r="O148" s="31"/>
      <c r="P148" s="78"/>
      <c r="Q148" s="397"/>
      <c r="R148" s="76"/>
      <c r="S148" s="77"/>
      <c r="T148" s="49"/>
      <c r="U148" s="53"/>
      <c r="V148" s="75"/>
      <c r="W148" s="448"/>
      <c r="X148" s="177"/>
      <c r="Y148" s="178"/>
      <c r="Z148" s="141"/>
      <c r="AA148" s="34"/>
      <c r="AB148" s="177"/>
      <c r="AC148" s="178"/>
      <c r="AD148" s="141"/>
      <c r="AE148" s="34"/>
    </row>
    <row r="149" spans="1:31" ht="12">
      <c r="A149" s="74"/>
      <c r="B149" s="15"/>
      <c r="C149" s="15" t="s">
        <v>16</v>
      </c>
      <c r="D149" s="15"/>
      <c r="E149" s="15"/>
      <c r="F149" s="15"/>
      <c r="G149" s="15"/>
      <c r="H149" s="300">
        <f>SUM(H139:H148)</f>
        <v>0</v>
      </c>
      <c r="I149" s="76">
        <f>SUM(I139:I148)</f>
        <v>0</v>
      </c>
      <c r="J149" s="76">
        <f>SUM(J139:J148)</f>
        <v>0</v>
      </c>
      <c r="K149" s="302">
        <f>SUM(K140:K148)</f>
        <v>9471.6</v>
      </c>
      <c r="L149" s="124" t="str">
        <f>L140</f>
        <v>ac</v>
      </c>
      <c r="M149" s="397">
        <f>M140</f>
        <v>3.6</v>
      </c>
      <c r="N149" s="95">
        <f>O149/M149</f>
        <v>2631</v>
      </c>
      <c r="O149" s="31">
        <f>SUM(O139:O148)</f>
        <v>9471.6</v>
      </c>
      <c r="P149" s="78" t="str">
        <f>P140</f>
        <v>ac</v>
      </c>
      <c r="Q149" s="397">
        <f>Q140</f>
        <v>3.6</v>
      </c>
      <c r="R149" s="95">
        <f>S149/Q149</f>
        <v>2631</v>
      </c>
      <c r="S149" s="77">
        <f>SUM(S139:S148)</f>
        <v>9471.6</v>
      </c>
      <c r="T149" s="49" t="str">
        <f>T140</f>
        <v>ac</v>
      </c>
      <c r="U149" s="397">
        <f>U140</f>
        <v>3.6</v>
      </c>
      <c r="V149" s="95">
        <f>W149/U149</f>
        <v>3882</v>
      </c>
      <c r="W149" s="77">
        <f>SUM(W139:W148)</f>
        <v>13975.2</v>
      </c>
      <c r="X149" s="177" t="str">
        <f>X140</f>
        <v>ac</v>
      </c>
      <c r="Y149" s="398">
        <f>Y140</f>
        <v>3.6</v>
      </c>
      <c r="Z149" s="188">
        <f>AA149/Y149</f>
        <v>3882</v>
      </c>
      <c r="AA149" s="139">
        <f>SUM(AA139:AA148)</f>
        <v>13975.2</v>
      </c>
      <c r="AB149" s="177" t="str">
        <f>AB140</f>
        <v>ac</v>
      </c>
      <c r="AC149" s="398">
        <f>AC140</f>
        <v>3.6</v>
      </c>
      <c r="AD149" s="188">
        <f>AE149/AC149</f>
        <v>3882</v>
      </c>
      <c r="AE149" s="139">
        <f>SUM(AE139:AE148)</f>
        <v>13975.2</v>
      </c>
    </row>
    <row r="150" spans="1:31" ht="12">
      <c r="A150" s="74"/>
      <c r="B150" s="15"/>
      <c r="C150" s="15" t="s">
        <v>10</v>
      </c>
      <c r="D150" s="15"/>
      <c r="E150" s="15"/>
      <c r="F150" s="15"/>
      <c r="G150" s="15"/>
      <c r="H150" s="300"/>
      <c r="I150" s="76"/>
      <c r="J150" s="76"/>
      <c r="K150" s="302"/>
      <c r="L150" s="124"/>
      <c r="M150" s="397"/>
      <c r="N150" s="76"/>
      <c r="O150" s="31"/>
      <c r="P150" s="78"/>
      <c r="Q150" s="397"/>
      <c r="R150" s="76"/>
      <c r="S150" s="77"/>
      <c r="T150" s="140"/>
      <c r="U150" s="178"/>
      <c r="V150" s="141"/>
      <c r="W150" s="34"/>
      <c r="X150" s="177"/>
      <c r="Y150" s="178"/>
      <c r="Z150" s="141"/>
      <c r="AA150" s="34"/>
      <c r="AB150" s="177"/>
      <c r="AC150" s="178"/>
      <c r="AD150" s="141"/>
      <c r="AE150" s="34"/>
    </row>
    <row r="151" spans="1:31" ht="12">
      <c r="A151" s="74" t="s">
        <v>266</v>
      </c>
      <c r="B151" s="15"/>
      <c r="C151" s="15"/>
      <c r="D151" s="15" t="s">
        <v>17</v>
      </c>
      <c r="E151" s="15"/>
      <c r="F151" s="15"/>
      <c r="G151" s="15"/>
      <c r="H151" s="300"/>
      <c r="I151" s="76"/>
      <c r="J151" s="76"/>
      <c r="K151" s="302"/>
      <c r="L151" s="124"/>
      <c r="M151" s="397"/>
      <c r="N151" s="76"/>
      <c r="O151" s="31"/>
      <c r="P151" s="78"/>
      <c r="Q151" s="397"/>
      <c r="R151" s="76"/>
      <c r="S151" s="77"/>
      <c r="T151" s="140"/>
      <c r="U151" s="178"/>
      <c r="V151" s="88"/>
      <c r="W151" s="34"/>
      <c r="X151" s="177"/>
      <c r="Y151" s="178"/>
      <c r="Z151" s="88"/>
      <c r="AA151" s="34"/>
      <c r="AB151" s="177"/>
      <c r="AC151" s="178"/>
      <c r="AD151" s="88"/>
      <c r="AE151" s="34"/>
    </row>
    <row r="152" spans="1:31" ht="12">
      <c r="A152" s="74" t="s">
        <v>267</v>
      </c>
      <c r="B152" s="15"/>
      <c r="C152" s="15"/>
      <c r="D152" s="15" t="s">
        <v>18</v>
      </c>
      <c r="E152" s="15"/>
      <c r="F152" s="15"/>
      <c r="G152" s="15"/>
      <c r="H152" s="300"/>
      <c r="I152" s="76"/>
      <c r="J152" s="76"/>
      <c r="K152" s="302">
        <v>1890</v>
      </c>
      <c r="L152" s="124" t="s">
        <v>9</v>
      </c>
      <c r="M152" s="397">
        <v>3.6</v>
      </c>
      <c r="N152" s="95">
        <f>O152/M152</f>
        <v>525</v>
      </c>
      <c r="O152" s="31">
        <f>K152</f>
        <v>1890</v>
      </c>
      <c r="P152" s="78" t="s">
        <v>9</v>
      </c>
      <c r="Q152" s="397">
        <v>3.6</v>
      </c>
      <c r="R152" s="95">
        <f>S152/Q152</f>
        <v>525</v>
      </c>
      <c r="S152" s="77">
        <f>O152</f>
        <v>1890</v>
      </c>
      <c r="T152" s="140" t="str">
        <f>P152</f>
        <v>ac</v>
      </c>
      <c r="U152" s="398">
        <f>Q152</f>
        <v>3.6</v>
      </c>
      <c r="V152" s="188">
        <v>1500</v>
      </c>
      <c r="W152" s="139">
        <f>U152*V152</f>
        <v>5400</v>
      </c>
      <c r="X152" s="177" t="str">
        <f>T152</f>
        <v>ac</v>
      </c>
      <c r="Y152" s="398">
        <f>U152</f>
        <v>3.6</v>
      </c>
      <c r="Z152" s="188">
        <v>1500</v>
      </c>
      <c r="AA152" s="139">
        <f>Y152*Z152</f>
        <v>5400</v>
      </c>
      <c r="AB152" s="177" t="str">
        <f>X152</f>
        <v>ac</v>
      </c>
      <c r="AC152" s="398">
        <f>Y152</f>
        <v>3.6</v>
      </c>
      <c r="AD152" s="188">
        <v>1500</v>
      </c>
      <c r="AE152" s="139">
        <f>AC152*AD152</f>
        <v>5400</v>
      </c>
    </row>
    <row r="153" spans="1:31" ht="12">
      <c r="A153" s="74"/>
      <c r="B153" s="15"/>
      <c r="C153" s="15" t="s">
        <v>15</v>
      </c>
      <c r="D153" s="15"/>
      <c r="E153" s="15"/>
      <c r="F153" s="15"/>
      <c r="G153" s="15"/>
      <c r="H153" s="300"/>
      <c r="I153" s="76"/>
      <c r="J153" s="76"/>
      <c r="K153" s="302"/>
      <c r="L153" s="124"/>
      <c r="M153" s="397"/>
      <c r="N153" s="76"/>
      <c r="O153" s="31"/>
      <c r="P153" s="78"/>
      <c r="Q153" s="397"/>
      <c r="R153" s="76"/>
      <c r="S153" s="77"/>
      <c r="T153" s="140"/>
      <c r="U153" s="178"/>
      <c r="V153" s="88"/>
      <c r="W153" s="34"/>
      <c r="X153" s="177"/>
      <c r="Y153" s="178"/>
      <c r="Z153" s="88"/>
      <c r="AA153" s="34"/>
      <c r="AB153" s="177"/>
      <c r="AC153" s="178"/>
      <c r="AD153" s="88"/>
      <c r="AE153" s="34"/>
    </row>
    <row r="154" spans="1:31" ht="12">
      <c r="A154" s="74" t="s">
        <v>268</v>
      </c>
      <c r="B154" s="15"/>
      <c r="C154" s="15"/>
      <c r="D154" s="15" t="s">
        <v>17</v>
      </c>
      <c r="E154" s="15"/>
      <c r="F154" s="15"/>
      <c r="G154" s="15"/>
      <c r="H154" s="300"/>
      <c r="I154" s="76"/>
      <c r="J154" s="76"/>
      <c r="K154" s="302"/>
      <c r="L154" s="124"/>
      <c r="M154" s="397"/>
      <c r="N154" s="76"/>
      <c r="O154" s="31"/>
      <c r="P154" s="78"/>
      <c r="Q154" s="397"/>
      <c r="R154" s="76"/>
      <c r="S154" s="77"/>
      <c r="T154" s="140"/>
      <c r="U154" s="178"/>
      <c r="V154" s="88"/>
      <c r="W154" s="34"/>
      <c r="X154" s="177"/>
      <c r="Y154" s="178"/>
      <c r="Z154" s="88"/>
      <c r="AA154" s="34"/>
      <c r="AB154" s="177"/>
      <c r="AC154" s="178"/>
      <c r="AD154" s="88"/>
      <c r="AE154" s="34"/>
    </row>
    <row r="155" spans="1:31" ht="12">
      <c r="A155" s="74" t="s">
        <v>269</v>
      </c>
      <c r="B155" s="15"/>
      <c r="C155" s="15"/>
      <c r="D155" s="15" t="s">
        <v>19</v>
      </c>
      <c r="E155" s="15"/>
      <c r="F155" s="15"/>
      <c r="G155" s="15"/>
      <c r="H155" s="303"/>
      <c r="I155" s="76"/>
      <c r="J155" s="76"/>
      <c r="K155" s="302"/>
      <c r="L155" s="124"/>
      <c r="M155" s="397"/>
      <c r="N155" s="76"/>
      <c r="O155" s="31"/>
      <c r="P155" s="78"/>
      <c r="Q155" s="397"/>
      <c r="R155" s="76"/>
      <c r="S155" s="77"/>
      <c r="T155" s="140"/>
      <c r="U155" s="178"/>
      <c r="V155" s="88"/>
      <c r="W155" s="34"/>
      <c r="X155" s="177"/>
      <c r="Y155" s="178"/>
      <c r="Z155" s="88"/>
      <c r="AA155" s="34"/>
      <c r="AB155" s="177"/>
      <c r="AC155" s="178"/>
      <c r="AD155" s="88"/>
      <c r="AE155" s="34"/>
    </row>
    <row r="156" spans="1:31" ht="12">
      <c r="A156" s="74"/>
      <c r="B156" s="15"/>
      <c r="C156" s="15" t="s">
        <v>20</v>
      </c>
      <c r="D156" s="15"/>
      <c r="E156" s="15"/>
      <c r="F156" s="15"/>
      <c r="G156" s="15"/>
      <c r="H156" s="300">
        <f>SUM(H150:H155)</f>
        <v>0</v>
      </c>
      <c r="I156" s="76">
        <f>SUM(I150:I155)</f>
        <v>0</v>
      </c>
      <c r="J156" s="76">
        <f>SUM(J150:J155)</f>
        <v>0</v>
      </c>
      <c r="K156" s="302">
        <f>SUM(K151:K155)</f>
        <v>1890</v>
      </c>
      <c r="L156" s="124" t="str">
        <f>L152</f>
        <v>ac</v>
      </c>
      <c r="M156" s="397">
        <f>M152</f>
        <v>3.6</v>
      </c>
      <c r="N156" s="95">
        <f>O156/M156</f>
        <v>525</v>
      </c>
      <c r="O156" s="31">
        <f>SUM(O150:O155)</f>
        <v>1890</v>
      </c>
      <c r="P156" s="78" t="str">
        <f>P152</f>
        <v>ac</v>
      </c>
      <c r="Q156" s="397">
        <f>Q152</f>
        <v>3.6</v>
      </c>
      <c r="R156" s="95">
        <f>S156/Q156</f>
        <v>525</v>
      </c>
      <c r="S156" s="77">
        <f>SUM(S150:S155)</f>
        <v>1890</v>
      </c>
      <c r="T156" s="140" t="str">
        <f>T152</f>
        <v>ac</v>
      </c>
      <c r="U156" s="398">
        <f>U152</f>
        <v>3.6</v>
      </c>
      <c r="V156" s="188">
        <f>W156/U156</f>
        <v>1500</v>
      </c>
      <c r="W156" s="139">
        <f>SUM(W150:W155)</f>
        <v>5400</v>
      </c>
      <c r="X156" s="140" t="str">
        <f>X152</f>
        <v>ac</v>
      </c>
      <c r="Y156" s="398">
        <f>Y152</f>
        <v>3.6</v>
      </c>
      <c r="Z156" s="188">
        <f>AA156/Y156</f>
        <v>1500</v>
      </c>
      <c r="AA156" s="139">
        <f>SUM(AA150:AA155)</f>
        <v>5400</v>
      </c>
      <c r="AB156" s="140" t="str">
        <f>AB152</f>
        <v>ac</v>
      </c>
      <c r="AC156" s="398">
        <f>AC152</f>
        <v>3.6</v>
      </c>
      <c r="AD156" s="188">
        <f>AE156/AC156</f>
        <v>1500</v>
      </c>
      <c r="AE156" s="139">
        <f>SUM(AE150:AE155)</f>
        <v>5400</v>
      </c>
    </row>
    <row r="157" spans="1:31" ht="12">
      <c r="A157" s="74"/>
      <c r="B157" s="86" t="s">
        <v>193</v>
      </c>
      <c r="C157" s="15"/>
      <c r="D157" s="15"/>
      <c r="E157" s="15"/>
      <c r="F157" s="15"/>
      <c r="G157" s="15"/>
      <c r="H157" s="300">
        <f>H149+H156+H138</f>
        <v>56000</v>
      </c>
      <c r="I157" s="76">
        <f>I149+I156+I138</f>
        <v>55000</v>
      </c>
      <c r="J157" s="76">
        <f>J149+J156+J138</f>
        <v>0</v>
      </c>
      <c r="K157" s="302">
        <f>K149+K156+K138</f>
        <v>122361.6</v>
      </c>
      <c r="L157" s="124" t="s">
        <v>9</v>
      </c>
      <c r="M157" s="397">
        <f>M149</f>
        <v>3.6</v>
      </c>
      <c r="N157" s="95">
        <f>O157/M157</f>
        <v>33989.333333333336</v>
      </c>
      <c r="O157" s="31">
        <f>O149+O156+O138</f>
        <v>122361.6</v>
      </c>
      <c r="P157" s="78" t="s">
        <v>9</v>
      </c>
      <c r="Q157" s="397">
        <f>Q149</f>
        <v>3.6</v>
      </c>
      <c r="R157" s="95">
        <f>S157/Q157</f>
        <v>33989.333333333336</v>
      </c>
      <c r="S157" s="77">
        <f>S149+S156+S138</f>
        <v>122361.6</v>
      </c>
      <c r="T157" s="140" t="s">
        <v>9</v>
      </c>
      <c r="U157" s="398">
        <f>U149</f>
        <v>3.6</v>
      </c>
      <c r="V157" s="188">
        <f>W157/U157</f>
        <v>36215.33333333333</v>
      </c>
      <c r="W157" s="139">
        <f>W149+W156+W138</f>
        <v>130375.2</v>
      </c>
      <c r="X157" s="140" t="s">
        <v>9</v>
      </c>
      <c r="Y157" s="398">
        <f>Y149</f>
        <v>3.6</v>
      </c>
      <c r="Z157" s="188">
        <f>AA157/Y157</f>
        <v>36215.33333333333</v>
      </c>
      <c r="AA157" s="139">
        <f>AA149+AA156+AA138</f>
        <v>130375.2</v>
      </c>
      <c r="AB157" s="140" t="s">
        <v>9</v>
      </c>
      <c r="AC157" s="398">
        <f>AC149</f>
        <v>3.6</v>
      </c>
      <c r="AD157" s="188">
        <f>AE157/AC157</f>
        <v>36215.33333333333</v>
      </c>
      <c r="AE157" s="139">
        <f>AE149+AE156+AE138</f>
        <v>130375.2</v>
      </c>
    </row>
    <row r="158" spans="1:31" ht="12">
      <c r="A158" s="74"/>
      <c r="B158" s="15"/>
      <c r="C158" s="15"/>
      <c r="D158" s="15"/>
      <c r="E158" s="15"/>
      <c r="F158" s="15"/>
      <c r="G158" s="15"/>
      <c r="H158" s="300"/>
      <c r="I158" s="76"/>
      <c r="J158" s="76"/>
      <c r="K158" s="302"/>
      <c r="L158" s="124"/>
      <c r="M158" s="53"/>
      <c r="N158" s="76"/>
      <c r="O158" s="31"/>
      <c r="P158" s="78"/>
      <c r="Q158" s="53"/>
      <c r="R158" s="76"/>
      <c r="S158" s="77"/>
      <c r="T158" s="273"/>
      <c r="U158" s="232"/>
      <c r="V158" s="233"/>
      <c r="W158" s="338"/>
      <c r="X158" s="177"/>
      <c r="Y158" s="178"/>
      <c r="Z158" s="138"/>
      <c r="AA158" s="139"/>
      <c r="AB158" s="177"/>
      <c r="AC158" s="178"/>
      <c r="AD158" s="138"/>
      <c r="AE158" s="139"/>
    </row>
    <row r="159" spans="1:31" ht="12">
      <c r="A159" s="74" t="s">
        <v>270</v>
      </c>
      <c r="B159" s="15" t="s">
        <v>194</v>
      </c>
      <c r="C159" s="15"/>
      <c r="D159" s="15"/>
      <c r="E159" s="15"/>
      <c r="F159" s="15"/>
      <c r="G159" s="15"/>
      <c r="H159" s="300"/>
      <c r="I159" s="76"/>
      <c r="J159" s="76"/>
      <c r="K159" s="302"/>
      <c r="L159" s="124"/>
      <c r="M159" s="53"/>
      <c r="N159" s="76"/>
      <c r="O159" s="31"/>
      <c r="P159" s="78"/>
      <c r="Q159" s="53"/>
      <c r="R159" s="76"/>
      <c r="S159" s="77"/>
      <c r="T159" s="273"/>
      <c r="U159" s="235"/>
      <c r="V159" s="235"/>
      <c r="W159" s="236"/>
      <c r="X159" s="177"/>
      <c r="Y159" s="97"/>
      <c r="Z159" s="97"/>
      <c r="AA159" s="34"/>
      <c r="AB159" s="177"/>
      <c r="AC159" s="97"/>
      <c r="AD159" s="97"/>
      <c r="AE159" s="34"/>
    </row>
    <row r="160" spans="1:31" ht="12">
      <c r="A160" s="74" t="s">
        <v>271</v>
      </c>
      <c r="B160" s="15"/>
      <c r="C160" s="15" t="s">
        <v>30</v>
      </c>
      <c r="D160" s="15"/>
      <c r="E160" s="15"/>
      <c r="F160" s="15"/>
      <c r="G160" s="15"/>
      <c r="H160" s="300">
        <v>30000</v>
      </c>
      <c r="I160" s="76">
        <v>2400</v>
      </c>
      <c r="J160" s="76"/>
      <c r="K160" s="302">
        <f>H160+I160+J160</f>
        <v>32400</v>
      </c>
      <c r="L160" s="124" t="s">
        <v>139</v>
      </c>
      <c r="M160" s="53">
        <v>1</v>
      </c>
      <c r="N160" s="76"/>
      <c r="O160" s="31">
        <f>K160</f>
        <v>32400</v>
      </c>
      <c r="P160" s="78" t="s">
        <v>139</v>
      </c>
      <c r="Q160" s="53">
        <v>1</v>
      </c>
      <c r="R160" s="76"/>
      <c r="S160" s="77">
        <f>O160</f>
        <v>32400</v>
      </c>
      <c r="T160" s="140" t="str">
        <f>P160</f>
        <v>lot</v>
      </c>
      <c r="U160" s="178">
        <f>Q160</f>
        <v>1</v>
      </c>
      <c r="V160" s="138"/>
      <c r="W160" s="34">
        <f>S160</f>
        <v>32400</v>
      </c>
      <c r="X160" s="177" t="str">
        <f>T160</f>
        <v>lot</v>
      </c>
      <c r="Y160" s="178">
        <f>U160</f>
        <v>1</v>
      </c>
      <c r="Z160" s="138"/>
      <c r="AA160" s="34">
        <f>W160</f>
        <v>32400</v>
      </c>
      <c r="AB160" s="177" t="str">
        <f>X160</f>
        <v>lot</v>
      </c>
      <c r="AC160" s="178">
        <f>Y160</f>
        <v>1</v>
      </c>
      <c r="AD160" s="138"/>
      <c r="AE160" s="34">
        <f>AA160</f>
        <v>32400</v>
      </c>
    </row>
    <row r="161" spans="1:31" ht="12">
      <c r="A161" s="74"/>
      <c r="B161" s="15"/>
      <c r="C161" s="15" t="s">
        <v>10</v>
      </c>
      <c r="D161" s="15"/>
      <c r="E161" s="15"/>
      <c r="F161" s="15"/>
      <c r="G161" s="15"/>
      <c r="H161" s="300"/>
      <c r="I161" s="76"/>
      <c r="J161" s="76"/>
      <c r="K161" s="302"/>
      <c r="L161" s="124"/>
      <c r="M161" s="53"/>
      <c r="N161" s="76"/>
      <c r="O161" s="31"/>
      <c r="P161" s="78"/>
      <c r="Q161" s="53"/>
      <c r="R161" s="76"/>
      <c r="S161" s="77"/>
      <c r="T161" s="49"/>
      <c r="U161" s="53"/>
      <c r="V161" s="76"/>
      <c r="W161" s="77"/>
      <c r="X161" s="177"/>
      <c r="Y161" s="178"/>
      <c r="Z161" s="138"/>
      <c r="AA161" s="139"/>
      <c r="AB161" s="177"/>
      <c r="AC161" s="178"/>
      <c r="AD161" s="138"/>
      <c r="AE161" s="139"/>
    </row>
    <row r="162" spans="1:31" ht="12">
      <c r="A162" s="74" t="s">
        <v>272</v>
      </c>
      <c r="B162" s="15"/>
      <c r="C162" s="15"/>
      <c r="D162" s="15" t="s">
        <v>11</v>
      </c>
      <c r="E162" s="15"/>
      <c r="F162" s="15"/>
      <c r="G162" s="15"/>
      <c r="H162" s="300"/>
      <c r="I162" s="76"/>
      <c r="J162" s="76"/>
      <c r="K162" s="302">
        <v>597.6</v>
      </c>
      <c r="L162" s="124" t="s">
        <v>9</v>
      </c>
      <c r="M162" s="397">
        <v>2.4</v>
      </c>
      <c r="N162" s="95">
        <f>O162/M162</f>
        <v>249.00000000000003</v>
      </c>
      <c r="O162" s="31">
        <f>K162</f>
        <v>597.6</v>
      </c>
      <c r="P162" s="78" t="s">
        <v>9</v>
      </c>
      <c r="Q162" s="397">
        <v>2.4</v>
      </c>
      <c r="R162" s="95">
        <f>S162/Q162</f>
        <v>249.00000000000003</v>
      </c>
      <c r="S162" s="77">
        <f aca="true" t="shared" si="7" ref="S162:U163">O162</f>
        <v>597.6</v>
      </c>
      <c r="T162" s="49" t="str">
        <f t="shared" si="7"/>
        <v>ac</v>
      </c>
      <c r="U162" s="397">
        <f t="shared" si="7"/>
        <v>2.4</v>
      </c>
      <c r="V162" s="188">
        <v>1500</v>
      </c>
      <c r="W162" s="139">
        <f>U162*V162</f>
        <v>3600</v>
      </c>
      <c r="X162" s="177" t="str">
        <f>T162</f>
        <v>ac</v>
      </c>
      <c r="Y162" s="398">
        <f>U162</f>
        <v>2.4</v>
      </c>
      <c r="Z162" s="188">
        <v>1500</v>
      </c>
      <c r="AA162" s="139">
        <f>Y162*Z162</f>
        <v>3600</v>
      </c>
      <c r="AB162" s="177" t="str">
        <f>X162</f>
        <v>ac</v>
      </c>
      <c r="AC162" s="398">
        <f>Y162</f>
        <v>2.4</v>
      </c>
      <c r="AD162" s="188">
        <v>1500</v>
      </c>
      <c r="AE162" s="139">
        <f>AC162*AD162</f>
        <v>3600</v>
      </c>
    </row>
    <row r="163" spans="1:31" ht="12">
      <c r="A163" s="74" t="s">
        <v>273</v>
      </c>
      <c r="B163" s="15"/>
      <c r="C163" s="15"/>
      <c r="D163" s="15" t="s">
        <v>12</v>
      </c>
      <c r="E163" s="15"/>
      <c r="F163" s="15"/>
      <c r="G163" s="15"/>
      <c r="H163" s="300"/>
      <c r="I163" s="76"/>
      <c r="J163" s="76"/>
      <c r="K163" s="302">
        <v>1704</v>
      </c>
      <c r="L163" s="124" t="s">
        <v>9</v>
      </c>
      <c r="M163" s="397">
        <v>2.4</v>
      </c>
      <c r="N163" s="95">
        <f>O163/M163</f>
        <v>710</v>
      </c>
      <c r="O163" s="31">
        <f>K163</f>
        <v>1704</v>
      </c>
      <c r="P163" s="78" t="s">
        <v>9</v>
      </c>
      <c r="Q163" s="397">
        <v>2.4</v>
      </c>
      <c r="R163" s="95">
        <f>S163/Q163</f>
        <v>710</v>
      </c>
      <c r="S163" s="77">
        <f t="shared" si="7"/>
        <v>1704</v>
      </c>
      <c r="T163" s="49" t="str">
        <f t="shared" si="7"/>
        <v>ac</v>
      </c>
      <c r="U163" s="397">
        <f t="shared" si="7"/>
        <v>2.4</v>
      </c>
      <c r="V163" s="138">
        <v>710</v>
      </c>
      <c r="W163" s="139">
        <f>U163*V163</f>
        <v>1704</v>
      </c>
      <c r="X163" s="177" t="str">
        <f>T163</f>
        <v>ac</v>
      </c>
      <c r="Y163" s="398">
        <f>U163</f>
        <v>2.4</v>
      </c>
      <c r="Z163" s="138">
        <v>710</v>
      </c>
      <c r="AA163" s="139">
        <f>Y163*Z163</f>
        <v>1704</v>
      </c>
      <c r="AB163" s="177" t="str">
        <f>X163</f>
        <v>ac</v>
      </c>
      <c r="AC163" s="398">
        <f>Y163</f>
        <v>2.4</v>
      </c>
      <c r="AD163" s="138">
        <v>710</v>
      </c>
      <c r="AE163" s="139">
        <f>AC163*AD163</f>
        <v>1704</v>
      </c>
    </row>
    <row r="164" spans="1:31" ht="12">
      <c r="A164" s="74" t="s">
        <v>274</v>
      </c>
      <c r="B164" s="15"/>
      <c r="C164" s="15"/>
      <c r="D164" s="15" t="s">
        <v>13</v>
      </c>
      <c r="E164" s="15"/>
      <c r="F164" s="15"/>
      <c r="G164" s="15"/>
      <c r="H164" s="303"/>
      <c r="I164" s="73"/>
      <c r="J164" s="73"/>
      <c r="K164" s="304"/>
      <c r="L164" s="124"/>
      <c r="M164" s="397"/>
      <c r="N164" s="95"/>
      <c r="O164" s="31"/>
      <c r="P164" s="78"/>
      <c r="Q164" s="397"/>
      <c r="R164" s="95"/>
      <c r="S164" s="77"/>
      <c r="T164" s="49"/>
      <c r="U164" s="53"/>
      <c r="V164" s="188"/>
      <c r="W164" s="139"/>
      <c r="X164" s="177"/>
      <c r="Y164" s="178"/>
      <c r="Z164" s="188"/>
      <c r="AA164" s="139"/>
      <c r="AB164" s="177"/>
      <c r="AC164" s="178"/>
      <c r="AD164" s="188"/>
      <c r="AE164" s="139"/>
    </row>
    <row r="165" spans="1:31" ht="12">
      <c r="A165" s="74" t="s">
        <v>275</v>
      </c>
      <c r="B165" s="15"/>
      <c r="C165" s="15"/>
      <c r="D165" s="15" t="s">
        <v>14</v>
      </c>
      <c r="E165" s="15"/>
      <c r="F165" s="15"/>
      <c r="G165" s="15"/>
      <c r="H165" s="300"/>
      <c r="I165" s="76"/>
      <c r="J165" s="76"/>
      <c r="K165" s="302">
        <v>4012.8</v>
      </c>
      <c r="L165" s="124" t="s">
        <v>9</v>
      </c>
      <c r="M165" s="397">
        <v>2.4</v>
      </c>
      <c r="N165" s="95">
        <f>O165/M165</f>
        <v>1672.0000000000002</v>
      </c>
      <c r="O165" s="31">
        <f>K165</f>
        <v>4012.8</v>
      </c>
      <c r="P165" s="78" t="s">
        <v>9</v>
      </c>
      <c r="Q165" s="397">
        <v>2.4</v>
      </c>
      <c r="R165" s="95">
        <f>S165/Q165</f>
        <v>1672.0000000000002</v>
      </c>
      <c r="S165" s="77">
        <f>O165</f>
        <v>4012.8</v>
      </c>
      <c r="T165" s="49" t="str">
        <f>P165</f>
        <v>ac</v>
      </c>
      <c r="U165" s="397">
        <f>Q165</f>
        <v>2.4</v>
      </c>
      <c r="V165" s="95">
        <v>1672</v>
      </c>
      <c r="W165" s="139">
        <f>U165*V165</f>
        <v>4012.7999999999997</v>
      </c>
      <c r="X165" s="177" t="str">
        <f>T165</f>
        <v>ac</v>
      </c>
      <c r="Y165" s="398">
        <f>U165</f>
        <v>2.4</v>
      </c>
      <c r="Z165" s="188">
        <v>1672</v>
      </c>
      <c r="AA165" s="139">
        <f>Y165*Z165</f>
        <v>4012.7999999999997</v>
      </c>
      <c r="AB165" s="177" t="str">
        <f>X165</f>
        <v>ac</v>
      </c>
      <c r="AC165" s="398">
        <f>Y165</f>
        <v>2.4</v>
      </c>
      <c r="AD165" s="188">
        <v>1672</v>
      </c>
      <c r="AE165" s="139">
        <f>AC165*AD165</f>
        <v>4012.7999999999997</v>
      </c>
    </row>
    <row r="166" spans="1:31" ht="12">
      <c r="A166" s="74"/>
      <c r="B166" s="15"/>
      <c r="C166" s="15" t="s">
        <v>15</v>
      </c>
      <c r="D166" s="15"/>
      <c r="E166" s="15"/>
      <c r="F166" s="15"/>
      <c r="G166" s="15"/>
      <c r="H166" s="300"/>
      <c r="I166" s="76"/>
      <c r="J166" s="76"/>
      <c r="K166" s="302"/>
      <c r="L166" s="124"/>
      <c r="M166" s="397"/>
      <c r="N166" s="76"/>
      <c r="O166" s="31"/>
      <c r="P166" s="78"/>
      <c r="Q166" s="397"/>
      <c r="R166" s="76"/>
      <c r="S166" s="77"/>
      <c r="T166" s="49"/>
      <c r="U166" s="53"/>
      <c r="V166" s="75"/>
      <c r="W166" s="448"/>
      <c r="X166" s="177"/>
      <c r="Y166" s="178"/>
      <c r="Z166" s="141"/>
      <c r="AA166" s="34"/>
      <c r="AB166" s="177"/>
      <c r="AC166" s="178"/>
      <c r="AD166" s="141"/>
      <c r="AE166" s="34"/>
    </row>
    <row r="167" spans="1:31" ht="12">
      <c r="A167" s="74" t="s">
        <v>276</v>
      </c>
      <c r="B167" s="15"/>
      <c r="C167" s="15"/>
      <c r="D167" s="15" t="s">
        <v>11</v>
      </c>
      <c r="E167" s="15"/>
      <c r="F167" s="15"/>
      <c r="G167" s="15"/>
      <c r="H167" s="300"/>
      <c r="I167" s="76"/>
      <c r="J167" s="76"/>
      <c r="K167" s="302"/>
      <c r="L167" s="124"/>
      <c r="M167" s="397"/>
      <c r="N167" s="76"/>
      <c r="O167" s="31"/>
      <c r="P167" s="78"/>
      <c r="Q167" s="397"/>
      <c r="R167" s="76"/>
      <c r="S167" s="77"/>
      <c r="T167" s="49"/>
      <c r="U167" s="53"/>
      <c r="V167" s="75"/>
      <c r="W167" s="448"/>
      <c r="X167" s="177"/>
      <c r="Y167" s="178"/>
      <c r="Z167" s="141"/>
      <c r="AA167" s="34"/>
      <c r="AB167" s="177"/>
      <c r="AC167" s="178"/>
      <c r="AD167" s="141"/>
      <c r="AE167" s="34"/>
    </row>
    <row r="168" spans="1:31" ht="12">
      <c r="A168" s="74" t="s">
        <v>277</v>
      </c>
      <c r="B168" s="15"/>
      <c r="C168" s="15"/>
      <c r="D168" s="15" t="s">
        <v>12</v>
      </c>
      <c r="E168" s="15"/>
      <c r="F168" s="15"/>
      <c r="G168" s="15"/>
      <c r="H168" s="300"/>
      <c r="I168" s="76"/>
      <c r="J168" s="76"/>
      <c r="K168" s="302"/>
      <c r="L168" s="124"/>
      <c r="M168" s="397"/>
      <c r="N168" s="76"/>
      <c r="O168" s="31"/>
      <c r="P168" s="78"/>
      <c r="Q168" s="397"/>
      <c r="R168" s="76"/>
      <c r="S168" s="77"/>
      <c r="T168" s="49"/>
      <c r="U168" s="53"/>
      <c r="V168" s="84"/>
      <c r="W168" s="448"/>
      <c r="X168" s="177"/>
      <c r="Y168" s="178"/>
      <c r="Z168" s="88"/>
      <c r="AA168" s="34"/>
      <c r="AB168" s="177"/>
      <c r="AC168" s="178"/>
      <c r="AD168" s="88"/>
      <c r="AE168" s="34"/>
    </row>
    <row r="169" spans="1:31" ht="12">
      <c r="A169" s="74" t="s">
        <v>278</v>
      </c>
      <c r="B169" s="15"/>
      <c r="C169" s="15"/>
      <c r="D169" s="15" t="s">
        <v>13</v>
      </c>
      <c r="E169" s="15"/>
      <c r="F169" s="15"/>
      <c r="G169" s="15"/>
      <c r="H169" s="300"/>
      <c r="I169" s="76"/>
      <c r="J169" s="76"/>
      <c r="K169" s="302"/>
      <c r="L169" s="124"/>
      <c r="M169" s="397"/>
      <c r="N169" s="76"/>
      <c r="O169" s="31"/>
      <c r="P169" s="78"/>
      <c r="Q169" s="397"/>
      <c r="R169" s="76"/>
      <c r="S169" s="77"/>
      <c r="T169" s="49"/>
      <c r="U169" s="53"/>
      <c r="V169" s="75"/>
      <c r="W169" s="448"/>
      <c r="X169" s="177"/>
      <c r="Y169" s="178"/>
      <c r="Z169" s="141"/>
      <c r="AA169" s="34"/>
      <c r="AB169" s="177"/>
      <c r="AC169" s="178"/>
      <c r="AD169" s="141"/>
      <c r="AE169" s="34"/>
    </row>
    <row r="170" spans="1:31" ht="12">
      <c r="A170" s="74" t="s">
        <v>279</v>
      </c>
      <c r="B170" s="15"/>
      <c r="C170" s="15"/>
      <c r="D170" s="15" t="s">
        <v>14</v>
      </c>
      <c r="E170" s="15"/>
      <c r="F170" s="15"/>
      <c r="G170" s="15"/>
      <c r="H170" s="300"/>
      <c r="I170" s="76"/>
      <c r="J170" s="76"/>
      <c r="K170" s="302"/>
      <c r="L170" s="124"/>
      <c r="M170" s="397"/>
      <c r="N170" s="76"/>
      <c r="O170" s="31"/>
      <c r="P170" s="78"/>
      <c r="Q170" s="397"/>
      <c r="R170" s="76"/>
      <c r="S170" s="77"/>
      <c r="T170" s="49"/>
      <c r="U170" s="53"/>
      <c r="V170" s="75"/>
      <c r="W170" s="448"/>
      <c r="X170" s="177"/>
      <c r="Y170" s="178"/>
      <c r="Z170" s="141"/>
      <c r="AA170" s="34"/>
      <c r="AB170" s="177"/>
      <c r="AC170" s="178"/>
      <c r="AD170" s="141"/>
      <c r="AE170" s="34"/>
    </row>
    <row r="171" spans="1:31" ht="12">
      <c r="A171" s="74"/>
      <c r="B171" s="15"/>
      <c r="C171" s="15" t="s">
        <v>16</v>
      </c>
      <c r="D171" s="15"/>
      <c r="E171" s="15"/>
      <c r="F171" s="15"/>
      <c r="G171" s="15"/>
      <c r="H171" s="300">
        <f>SUM(H161:H170)</f>
        <v>0</v>
      </c>
      <c r="I171" s="76">
        <f>SUM(I161:I170)</f>
        <v>0</v>
      </c>
      <c r="J171" s="76">
        <f>SUM(J161:J170)</f>
        <v>0</v>
      </c>
      <c r="K171" s="302">
        <f>SUM(K162:K170)</f>
        <v>6314.4</v>
      </c>
      <c r="L171" s="124" t="str">
        <f>L162</f>
        <v>ac</v>
      </c>
      <c r="M171" s="397">
        <f>M162</f>
        <v>2.4</v>
      </c>
      <c r="N171" s="95">
        <f>O171/M171</f>
        <v>2631</v>
      </c>
      <c r="O171" s="31">
        <f>SUM(O161:O170)</f>
        <v>6314.4</v>
      </c>
      <c r="P171" s="78" t="str">
        <f>P162</f>
        <v>ac</v>
      </c>
      <c r="Q171" s="397">
        <f>Q162</f>
        <v>2.4</v>
      </c>
      <c r="R171" s="95">
        <f>S171/Q171</f>
        <v>2631</v>
      </c>
      <c r="S171" s="77">
        <f>SUM(S161:S170)</f>
        <v>6314.4</v>
      </c>
      <c r="T171" s="49" t="str">
        <f>T162</f>
        <v>ac</v>
      </c>
      <c r="U171" s="397">
        <f>U162</f>
        <v>2.4</v>
      </c>
      <c r="V171" s="95">
        <f>W171/U171</f>
        <v>3882</v>
      </c>
      <c r="W171" s="77">
        <f>SUM(W161:W170)</f>
        <v>9316.8</v>
      </c>
      <c r="X171" s="140" t="str">
        <f>X162</f>
        <v>ac</v>
      </c>
      <c r="Y171" s="398">
        <f>Y162</f>
        <v>2.4</v>
      </c>
      <c r="Z171" s="188">
        <f>AA171/Y171</f>
        <v>3882</v>
      </c>
      <c r="AA171" s="139">
        <f>SUM(AA161:AA170)</f>
        <v>9316.8</v>
      </c>
      <c r="AB171" s="140" t="str">
        <f>AB162</f>
        <v>ac</v>
      </c>
      <c r="AC171" s="398">
        <f>AC162</f>
        <v>2.4</v>
      </c>
      <c r="AD171" s="188">
        <f>AE171/AC171</f>
        <v>3882</v>
      </c>
      <c r="AE171" s="139">
        <f>SUM(AE161:AE170)</f>
        <v>9316.8</v>
      </c>
    </row>
    <row r="172" spans="1:31" ht="12">
      <c r="A172" s="74"/>
      <c r="B172" s="15"/>
      <c r="C172" s="15" t="s">
        <v>10</v>
      </c>
      <c r="D172" s="15"/>
      <c r="E172" s="15"/>
      <c r="F172" s="15"/>
      <c r="G172" s="15"/>
      <c r="H172" s="300"/>
      <c r="I172" s="76"/>
      <c r="J172" s="76"/>
      <c r="K172" s="302"/>
      <c r="L172" s="124"/>
      <c r="M172" s="397"/>
      <c r="N172" s="76"/>
      <c r="O172" s="31"/>
      <c r="P172" s="78"/>
      <c r="Q172" s="397"/>
      <c r="R172" s="76"/>
      <c r="S172" s="77"/>
      <c r="T172" s="140"/>
      <c r="U172" s="178"/>
      <c r="V172" s="141"/>
      <c r="W172" s="34"/>
      <c r="X172" s="177"/>
      <c r="Y172" s="178"/>
      <c r="Z172" s="141"/>
      <c r="AA172" s="34"/>
      <c r="AB172" s="177"/>
      <c r="AC172" s="178"/>
      <c r="AD172" s="141"/>
      <c r="AE172" s="34"/>
    </row>
    <row r="173" spans="1:31" ht="12">
      <c r="A173" s="74" t="s">
        <v>280</v>
      </c>
      <c r="B173" s="15"/>
      <c r="C173" s="15"/>
      <c r="D173" s="15" t="s">
        <v>17</v>
      </c>
      <c r="E173" s="15"/>
      <c r="F173" s="15"/>
      <c r="G173" s="15"/>
      <c r="H173" s="300"/>
      <c r="I173" s="76"/>
      <c r="J173" s="76"/>
      <c r="K173" s="302"/>
      <c r="L173" s="124"/>
      <c r="M173" s="397"/>
      <c r="N173" s="76"/>
      <c r="O173" s="31"/>
      <c r="P173" s="78"/>
      <c r="Q173" s="397"/>
      <c r="R173" s="76"/>
      <c r="S173" s="77"/>
      <c r="T173" s="140"/>
      <c r="U173" s="178"/>
      <c r="V173" s="88"/>
      <c r="W173" s="34"/>
      <c r="X173" s="177"/>
      <c r="Y173" s="178"/>
      <c r="Z173" s="88"/>
      <c r="AA173" s="34"/>
      <c r="AB173" s="177"/>
      <c r="AC173" s="178"/>
      <c r="AD173" s="88"/>
      <c r="AE173" s="34"/>
    </row>
    <row r="174" spans="1:31" ht="12">
      <c r="A174" s="74" t="s">
        <v>281</v>
      </c>
      <c r="B174" s="15"/>
      <c r="C174" s="15"/>
      <c r="D174" s="15" t="s">
        <v>18</v>
      </c>
      <c r="E174" s="15"/>
      <c r="F174" s="15"/>
      <c r="G174" s="15"/>
      <c r="H174" s="300"/>
      <c r="I174" s="76"/>
      <c r="J174" s="76"/>
      <c r="K174" s="302">
        <v>1260</v>
      </c>
      <c r="L174" s="124" t="s">
        <v>9</v>
      </c>
      <c r="M174" s="397">
        <v>2.4</v>
      </c>
      <c r="N174" s="95">
        <f>O174/M174</f>
        <v>525</v>
      </c>
      <c r="O174" s="31">
        <f>K174</f>
        <v>1260</v>
      </c>
      <c r="P174" s="78" t="s">
        <v>9</v>
      </c>
      <c r="Q174" s="397">
        <v>2.4</v>
      </c>
      <c r="R174" s="95">
        <f>S174/Q174</f>
        <v>525</v>
      </c>
      <c r="S174" s="77">
        <f>O174</f>
        <v>1260</v>
      </c>
      <c r="T174" s="140" t="str">
        <f>P174</f>
        <v>ac</v>
      </c>
      <c r="U174" s="398">
        <f>Q174</f>
        <v>2.4</v>
      </c>
      <c r="V174" s="188">
        <v>1500</v>
      </c>
      <c r="W174" s="139">
        <f>U174*V174</f>
        <v>3600</v>
      </c>
      <c r="X174" s="177" t="str">
        <f>T174</f>
        <v>ac</v>
      </c>
      <c r="Y174" s="398">
        <f>U174</f>
        <v>2.4</v>
      </c>
      <c r="Z174" s="188">
        <v>1500</v>
      </c>
      <c r="AA174" s="139">
        <f>Y174*Z174</f>
        <v>3600</v>
      </c>
      <c r="AB174" s="177" t="str">
        <f>X174</f>
        <v>ac</v>
      </c>
      <c r="AC174" s="398">
        <f>Y174</f>
        <v>2.4</v>
      </c>
      <c r="AD174" s="188">
        <v>1500</v>
      </c>
      <c r="AE174" s="139">
        <f>AC174*AD174</f>
        <v>3600</v>
      </c>
    </row>
    <row r="175" spans="1:31" ht="12">
      <c r="A175" s="74"/>
      <c r="B175" s="15"/>
      <c r="C175" s="15" t="s">
        <v>15</v>
      </c>
      <c r="D175" s="15"/>
      <c r="E175" s="15"/>
      <c r="F175" s="15"/>
      <c r="G175" s="15"/>
      <c r="H175" s="300"/>
      <c r="I175" s="76"/>
      <c r="J175" s="76"/>
      <c r="K175" s="302"/>
      <c r="L175" s="124"/>
      <c r="M175" s="397"/>
      <c r="N175" s="76"/>
      <c r="O175" s="31"/>
      <c r="P175" s="78"/>
      <c r="Q175" s="397"/>
      <c r="R175" s="76"/>
      <c r="S175" s="77"/>
      <c r="T175" s="140"/>
      <c r="U175" s="178"/>
      <c r="V175" s="88"/>
      <c r="W175" s="34"/>
      <c r="X175" s="177"/>
      <c r="Y175" s="178"/>
      <c r="Z175" s="88"/>
      <c r="AA175" s="34"/>
      <c r="AB175" s="177"/>
      <c r="AC175" s="178"/>
      <c r="AD175" s="88"/>
      <c r="AE175" s="34"/>
    </row>
    <row r="176" spans="1:31" ht="12">
      <c r="A176" s="74" t="s">
        <v>282</v>
      </c>
      <c r="B176" s="15"/>
      <c r="C176" s="15"/>
      <c r="D176" s="15" t="s">
        <v>17</v>
      </c>
      <c r="E176" s="15"/>
      <c r="F176" s="15"/>
      <c r="G176" s="15"/>
      <c r="H176" s="300"/>
      <c r="I176" s="76"/>
      <c r="J176" s="76"/>
      <c r="K176" s="302"/>
      <c r="L176" s="124"/>
      <c r="M176" s="397"/>
      <c r="N176" s="76"/>
      <c r="O176" s="31"/>
      <c r="P176" s="78"/>
      <c r="Q176" s="397"/>
      <c r="R176" s="76"/>
      <c r="S176" s="77"/>
      <c r="T176" s="140"/>
      <c r="U176" s="178"/>
      <c r="V176" s="88"/>
      <c r="W176" s="34"/>
      <c r="X176" s="177"/>
      <c r="Y176" s="178"/>
      <c r="Z176" s="88"/>
      <c r="AA176" s="34"/>
      <c r="AB176" s="177"/>
      <c r="AC176" s="178"/>
      <c r="AD176" s="88"/>
      <c r="AE176" s="34"/>
    </row>
    <row r="177" spans="1:31" ht="12">
      <c r="A177" s="74" t="s">
        <v>283</v>
      </c>
      <c r="B177" s="15"/>
      <c r="C177" s="15"/>
      <c r="D177" s="15" t="s">
        <v>19</v>
      </c>
      <c r="E177" s="15"/>
      <c r="F177" s="15"/>
      <c r="G177" s="49"/>
      <c r="H177" s="303"/>
      <c r="I177" s="76"/>
      <c r="J177" s="76"/>
      <c r="K177" s="302"/>
      <c r="L177" s="124"/>
      <c r="M177" s="397"/>
      <c r="N177" s="76"/>
      <c r="O177" s="31"/>
      <c r="P177" s="78"/>
      <c r="Q177" s="397"/>
      <c r="R177" s="76"/>
      <c r="S177" s="77"/>
      <c r="T177" s="140"/>
      <c r="U177" s="178"/>
      <c r="V177" s="88"/>
      <c r="W177" s="34"/>
      <c r="X177" s="177"/>
      <c r="Y177" s="178"/>
      <c r="Z177" s="88"/>
      <c r="AA177" s="34"/>
      <c r="AB177" s="177"/>
      <c r="AC177" s="178"/>
      <c r="AD177" s="88"/>
      <c r="AE177" s="34"/>
    </row>
    <row r="178" spans="1:31" ht="12">
      <c r="A178" s="74"/>
      <c r="B178" s="15"/>
      <c r="C178" s="15" t="s">
        <v>20</v>
      </c>
      <c r="D178" s="15"/>
      <c r="E178" s="15"/>
      <c r="F178" s="15"/>
      <c r="G178" s="15"/>
      <c r="H178" s="300">
        <f>SUM(H172:H177)</f>
        <v>0</v>
      </c>
      <c r="I178" s="76">
        <f>SUM(I172:I177)</f>
        <v>0</v>
      </c>
      <c r="J178" s="76">
        <f>SUM(J172:J177)</f>
        <v>0</v>
      </c>
      <c r="K178" s="302">
        <f>SUM(K173:K177)</f>
        <v>1260</v>
      </c>
      <c r="L178" s="124" t="str">
        <f>L174</f>
        <v>ac</v>
      </c>
      <c r="M178" s="397">
        <f>M174</f>
        <v>2.4</v>
      </c>
      <c r="N178" s="95">
        <f>O178/M178</f>
        <v>525</v>
      </c>
      <c r="O178" s="31">
        <f>SUM(O172:O177)</f>
        <v>1260</v>
      </c>
      <c r="P178" s="78" t="str">
        <f>P174</f>
        <v>ac</v>
      </c>
      <c r="Q178" s="397">
        <f>Q174</f>
        <v>2.4</v>
      </c>
      <c r="R178" s="95">
        <f>S178/Q178</f>
        <v>525</v>
      </c>
      <c r="S178" s="77">
        <f>SUM(S172:S177)</f>
        <v>1260</v>
      </c>
      <c r="T178" s="140" t="str">
        <f>T174</f>
        <v>ac</v>
      </c>
      <c r="U178" s="398">
        <f>U174</f>
        <v>2.4</v>
      </c>
      <c r="V178" s="188">
        <f>W178/U178</f>
        <v>1500</v>
      </c>
      <c r="W178" s="139">
        <f>SUM(W172:W177)</f>
        <v>3600</v>
      </c>
      <c r="X178" s="177" t="str">
        <f>X174</f>
        <v>ac</v>
      </c>
      <c r="Y178" s="398">
        <f>Y174</f>
        <v>2.4</v>
      </c>
      <c r="Z178" s="188">
        <f>AA178/Y178</f>
        <v>1500</v>
      </c>
      <c r="AA178" s="139">
        <f>SUM(AA172:AA177)</f>
        <v>3600</v>
      </c>
      <c r="AB178" s="177" t="str">
        <f>AB174</f>
        <v>ac</v>
      </c>
      <c r="AC178" s="398">
        <f>AC174</f>
        <v>2.4</v>
      </c>
      <c r="AD178" s="188">
        <f>AE178/AC178</f>
        <v>1500</v>
      </c>
      <c r="AE178" s="139">
        <f>SUM(AE172:AE177)</f>
        <v>3600</v>
      </c>
    </row>
    <row r="179" spans="1:31" ht="12">
      <c r="A179" s="74"/>
      <c r="B179" s="15" t="s">
        <v>195</v>
      </c>
      <c r="C179" s="15"/>
      <c r="D179" s="15"/>
      <c r="E179" s="15"/>
      <c r="F179" s="15"/>
      <c r="G179" s="15"/>
      <c r="H179" s="300">
        <f>H171+H178+H160</f>
        <v>30000</v>
      </c>
      <c r="I179" s="76">
        <f>I171+I178+I160</f>
        <v>2400</v>
      </c>
      <c r="J179" s="76">
        <f>J171+J178+J160</f>
        <v>0</v>
      </c>
      <c r="K179" s="302">
        <f>K171+K178+K160</f>
        <v>39974.4</v>
      </c>
      <c r="L179" s="124" t="s">
        <v>9</v>
      </c>
      <c r="M179" s="397">
        <f>M171</f>
        <v>2.4</v>
      </c>
      <c r="N179" s="95">
        <f>O179/M179</f>
        <v>16656</v>
      </c>
      <c r="O179" s="31">
        <f>O171+O178+O160</f>
        <v>39974.4</v>
      </c>
      <c r="P179" s="78" t="s">
        <v>9</v>
      </c>
      <c r="Q179" s="397">
        <f>Q171</f>
        <v>2.4</v>
      </c>
      <c r="R179" s="95">
        <f>S179/Q179</f>
        <v>16656</v>
      </c>
      <c r="S179" s="77">
        <f>S171+S178+S160</f>
        <v>39974.4</v>
      </c>
      <c r="T179" s="140" t="s">
        <v>9</v>
      </c>
      <c r="U179" s="398">
        <f>U171</f>
        <v>2.4</v>
      </c>
      <c r="V179" s="188">
        <f>W179/U179</f>
        <v>18882.000000000004</v>
      </c>
      <c r="W179" s="139">
        <f>W171+W178+W160</f>
        <v>45316.8</v>
      </c>
      <c r="X179" s="177" t="s">
        <v>9</v>
      </c>
      <c r="Y179" s="398">
        <f>Y171</f>
        <v>2.4</v>
      </c>
      <c r="Z179" s="188">
        <f>AA179/Y179</f>
        <v>18882.000000000004</v>
      </c>
      <c r="AA179" s="139">
        <f>AA171+AA178+AA160</f>
        <v>45316.8</v>
      </c>
      <c r="AB179" s="177" t="s">
        <v>9</v>
      </c>
      <c r="AC179" s="398">
        <f>AC171</f>
        <v>2.4</v>
      </c>
      <c r="AD179" s="188">
        <f>AE179/AC179</f>
        <v>18882.000000000004</v>
      </c>
      <c r="AE179" s="139">
        <f>AE171+AE178+AE160</f>
        <v>45316.8</v>
      </c>
    </row>
    <row r="180" spans="1:31" ht="12">
      <c r="A180" s="74"/>
      <c r="B180" s="15"/>
      <c r="C180" s="15"/>
      <c r="D180" s="15"/>
      <c r="E180" s="15"/>
      <c r="F180" s="15"/>
      <c r="G180" s="15"/>
      <c r="H180" s="300"/>
      <c r="I180" s="76"/>
      <c r="J180" s="76"/>
      <c r="K180" s="302"/>
      <c r="L180" s="124"/>
      <c r="M180" s="397"/>
      <c r="N180" s="76"/>
      <c r="O180" s="31"/>
      <c r="P180" s="78"/>
      <c r="Q180" s="397"/>
      <c r="R180" s="76"/>
      <c r="S180" s="77"/>
      <c r="T180" s="273"/>
      <c r="U180" s="235"/>
      <c r="V180" s="235"/>
      <c r="W180" s="236"/>
      <c r="X180" s="231"/>
      <c r="Y180" s="235"/>
      <c r="Z180" s="235"/>
      <c r="AA180" s="236"/>
      <c r="AB180" s="231"/>
      <c r="AC180" s="235"/>
      <c r="AD180" s="235"/>
      <c r="AE180" s="236"/>
    </row>
    <row r="181" spans="1:31" ht="12">
      <c r="A181" s="96" t="s">
        <v>284</v>
      </c>
      <c r="B181" s="86" t="s">
        <v>202</v>
      </c>
      <c r="C181" s="86"/>
      <c r="D181" s="86"/>
      <c r="E181" s="86"/>
      <c r="F181" s="86"/>
      <c r="G181" s="86"/>
      <c r="H181" s="195"/>
      <c r="I181" s="138"/>
      <c r="J181" s="138"/>
      <c r="K181" s="309"/>
      <c r="L181" s="257"/>
      <c r="M181" s="398"/>
      <c r="N181" s="138"/>
      <c r="O181" s="43"/>
      <c r="P181" s="107"/>
      <c r="Q181" s="398"/>
      <c r="R181" s="138"/>
      <c r="S181" s="139"/>
      <c r="T181" s="273"/>
      <c r="U181" s="235"/>
      <c r="V181" s="238"/>
      <c r="W181" s="236"/>
      <c r="X181" s="231"/>
      <c r="Y181" s="235"/>
      <c r="Z181" s="238"/>
      <c r="AA181" s="236"/>
      <c r="AB181" s="231"/>
      <c r="AC181" s="235"/>
      <c r="AD181" s="238"/>
      <c r="AE181" s="236"/>
    </row>
    <row r="182" spans="1:31" ht="12">
      <c r="A182" s="90" t="s">
        <v>285</v>
      </c>
      <c r="B182" s="15"/>
      <c r="C182" s="15" t="s">
        <v>30</v>
      </c>
      <c r="D182" s="15"/>
      <c r="E182" s="15"/>
      <c r="F182" s="15"/>
      <c r="G182" s="15"/>
      <c r="H182" s="300">
        <f>5000+35000</f>
        <v>40000</v>
      </c>
      <c r="I182" s="76">
        <f>10000+20000</f>
        <v>30000</v>
      </c>
      <c r="J182" s="76"/>
      <c r="K182" s="302">
        <f>H182+I182+J182</f>
        <v>70000</v>
      </c>
      <c r="L182" s="124" t="s">
        <v>139</v>
      </c>
      <c r="M182" s="53">
        <v>2</v>
      </c>
      <c r="N182" s="76"/>
      <c r="O182" s="31">
        <f>K182</f>
        <v>70000</v>
      </c>
      <c r="P182" s="78" t="s">
        <v>139</v>
      </c>
      <c r="Q182" s="53">
        <v>2</v>
      </c>
      <c r="R182" s="76"/>
      <c r="S182" s="77">
        <f>O182</f>
        <v>70000</v>
      </c>
      <c r="T182" s="140" t="str">
        <f>P182</f>
        <v>lot</v>
      </c>
      <c r="U182" s="178">
        <f>Q182</f>
        <v>2</v>
      </c>
      <c r="V182" s="138"/>
      <c r="W182" s="34">
        <f>S182</f>
        <v>70000</v>
      </c>
      <c r="X182" s="177" t="str">
        <f>T182</f>
        <v>lot</v>
      </c>
      <c r="Y182" s="178">
        <f>U182</f>
        <v>2</v>
      </c>
      <c r="Z182" s="138"/>
      <c r="AA182" s="34">
        <f>W182</f>
        <v>70000</v>
      </c>
      <c r="AB182" s="177" t="str">
        <f>X182</f>
        <v>lot</v>
      </c>
      <c r="AC182" s="178">
        <f>Y182</f>
        <v>2</v>
      </c>
      <c r="AD182" s="138"/>
      <c r="AE182" s="34">
        <f>AA182</f>
        <v>70000</v>
      </c>
    </row>
    <row r="183" spans="1:31" ht="12">
      <c r="A183" s="96"/>
      <c r="B183" s="15"/>
      <c r="C183" s="15" t="s">
        <v>10</v>
      </c>
      <c r="D183" s="15"/>
      <c r="E183" s="15"/>
      <c r="F183" s="15"/>
      <c r="G183" s="15"/>
      <c r="H183" s="300"/>
      <c r="I183" s="76"/>
      <c r="J183" s="76"/>
      <c r="K183" s="302"/>
      <c r="L183" s="124"/>
      <c r="M183" s="397"/>
      <c r="N183" s="76"/>
      <c r="O183" s="31"/>
      <c r="P183" s="78"/>
      <c r="Q183" s="397"/>
      <c r="R183" s="76"/>
      <c r="S183" s="77"/>
      <c r="T183" s="49"/>
      <c r="U183" s="53"/>
      <c r="V183" s="76"/>
      <c r="W183" s="77"/>
      <c r="X183" s="177"/>
      <c r="Y183" s="178"/>
      <c r="Z183" s="138"/>
      <c r="AA183" s="139"/>
      <c r="AB183" s="177"/>
      <c r="AC183" s="178"/>
      <c r="AD183" s="138"/>
      <c r="AE183" s="139"/>
    </row>
    <row r="184" spans="1:31" ht="12">
      <c r="A184" s="96" t="s">
        <v>286</v>
      </c>
      <c r="B184" s="15"/>
      <c r="C184" s="15"/>
      <c r="D184" s="15" t="s">
        <v>11</v>
      </c>
      <c r="E184" s="15"/>
      <c r="F184" s="15"/>
      <c r="G184" s="15"/>
      <c r="H184" s="300"/>
      <c r="I184" s="76"/>
      <c r="J184" s="76"/>
      <c r="K184" s="302">
        <v>2490</v>
      </c>
      <c r="L184" s="124" t="s">
        <v>9</v>
      </c>
      <c r="M184" s="397">
        <v>10</v>
      </c>
      <c r="N184" s="95">
        <f>O184/M184</f>
        <v>249</v>
      </c>
      <c r="O184" s="31">
        <f>K184</f>
        <v>2490</v>
      </c>
      <c r="P184" s="78" t="s">
        <v>9</v>
      </c>
      <c r="Q184" s="397">
        <v>10</v>
      </c>
      <c r="R184" s="95">
        <f>S184/Q184</f>
        <v>249</v>
      </c>
      <c r="S184" s="77">
        <f aca="true" t="shared" si="8" ref="S184:U185">O184</f>
        <v>2490</v>
      </c>
      <c r="T184" s="49" t="str">
        <f t="shared" si="8"/>
        <v>ac</v>
      </c>
      <c r="U184" s="397">
        <f t="shared" si="8"/>
        <v>10</v>
      </c>
      <c r="V184" s="188">
        <v>1500</v>
      </c>
      <c r="W184" s="139">
        <f>U184*V184</f>
        <v>15000</v>
      </c>
      <c r="X184" s="177" t="str">
        <f>T184</f>
        <v>ac</v>
      </c>
      <c r="Y184" s="398">
        <f>U184</f>
        <v>10</v>
      </c>
      <c r="Z184" s="188">
        <v>1500</v>
      </c>
      <c r="AA184" s="139">
        <f>Y184*Z184</f>
        <v>15000</v>
      </c>
      <c r="AB184" s="177" t="str">
        <f>X184</f>
        <v>ac</v>
      </c>
      <c r="AC184" s="398">
        <f>Y184</f>
        <v>10</v>
      </c>
      <c r="AD184" s="188">
        <v>1500</v>
      </c>
      <c r="AE184" s="139">
        <f>AC184*AD184</f>
        <v>15000</v>
      </c>
    </row>
    <row r="185" spans="1:31" ht="12">
      <c r="A185" s="96" t="s">
        <v>287</v>
      </c>
      <c r="B185" s="15"/>
      <c r="C185" s="15"/>
      <c r="D185" s="15" t="s">
        <v>12</v>
      </c>
      <c r="E185" s="15"/>
      <c r="F185" s="15"/>
      <c r="G185" s="15"/>
      <c r="H185" s="300"/>
      <c r="I185" s="76"/>
      <c r="J185" s="76"/>
      <c r="K185" s="302">
        <v>7100</v>
      </c>
      <c r="L185" s="124" t="s">
        <v>9</v>
      </c>
      <c r="M185" s="397">
        <v>10</v>
      </c>
      <c r="N185" s="95">
        <f>O185/M185</f>
        <v>710</v>
      </c>
      <c r="O185" s="31">
        <f>K185</f>
        <v>7100</v>
      </c>
      <c r="P185" s="78" t="s">
        <v>9</v>
      </c>
      <c r="Q185" s="397">
        <v>10</v>
      </c>
      <c r="R185" s="95">
        <f>S185/Q185</f>
        <v>710</v>
      </c>
      <c r="S185" s="77">
        <f t="shared" si="8"/>
        <v>7100</v>
      </c>
      <c r="T185" s="49" t="str">
        <f t="shared" si="8"/>
        <v>ac</v>
      </c>
      <c r="U185" s="397">
        <f t="shared" si="8"/>
        <v>10</v>
      </c>
      <c r="V185" s="138">
        <v>710</v>
      </c>
      <c r="W185" s="139">
        <f>U185*V185</f>
        <v>7100</v>
      </c>
      <c r="X185" s="177" t="str">
        <f>T185</f>
        <v>ac</v>
      </c>
      <c r="Y185" s="398">
        <f>U185</f>
        <v>10</v>
      </c>
      <c r="Z185" s="138">
        <v>710</v>
      </c>
      <c r="AA185" s="139">
        <f>Y185*Z185</f>
        <v>7100</v>
      </c>
      <c r="AB185" s="177" t="str">
        <f>X185</f>
        <v>ac</v>
      </c>
      <c r="AC185" s="398">
        <f>Y185</f>
        <v>10</v>
      </c>
      <c r="AD185" s="138">
        <v>710</v>
      </c>
      <c r="AE185" s="139">
        <f>AC185*AD185</f>
        <v>7100</v>
      </c>
    </row>
    <row r="186" spans="1:31" ht="12">
      <c r="A186" s="96" t="s">
        <v>288</v>
      </c>
      <c r="B186" s="15"/>
      <c r="C186" s="15"/>
      <c r="D186" s="15" t="s">
        <v>13</v>
      </c>
      <c r="E186" s="15"/>
      <c r="F186" s="15"/>
      <c r="G186" s="15"/>
      <c r="H186" s="303"/>
      <c r="I186" s="73"/>
      <c r="J186" s="73"/>
      <c r="K186" s="304"/>
      <c r="L186" s="124"/>
      <c r="M186" s="397"/>
      <c r="N186" s="95"/>
      <c r="O186" s="31"/>
      <c r="P186" s="78"/>
      <c r="Q186" s="397"/>
      <c r="R186" s="95"/>
      <c r="S186" s="77"/>
      <c r="T186" s="49"/>
      <c r="U186" s="53"/>
      <c r="V186" s="188"/>
      <c r="W186" s="139"/>
      <c r="X186" s="177"/>
      <c r="Y186" s="178"/>
      <c r="Z186" s="188"/>
      <c r="AA186" s="139"/>
      <c r="AB186" s="177"/>
      <c r="AC186" s="178"/>
      <c r="AD186" s="188"/>
      <c r="AE186" s="139"/>
    </row>
    <row r="187" spans="1:31" ht="12">
      <c r="A187" s="96" t="s">
        <v>289</v>
      </c>
      <c r="B187" s="15"/>
      <c r="C187" s="15"/>
      <c r="D187" s="15" t="s">
        <v>14</v>
      </c>
      <c r="E187" s="15"/>
      <c r="F187" s="15"/>
      <c r="G187" s="15"/>
      <c r="H187" s="300"/>
      <c r="I187" s="76"/>
      <c r="J187" s="76"/>
      <c r="K187" s="302">
        <v>16720</v>
      </c>
      <c r="L187" s="124" t="s">
        <v>9</v>
      </c>
      <c r="M187" s="397">
        <v>10</v>
      </c>
      <c r="N187" s="95">
        <f>O187/M187</f>
        <v>1672</v>
      </c>
      <c r="O187" s="31">
        <f>K187</f>
        <v>16720</v>
      </c>
      <c r="P187" s="78" t="s">
        <v>9</v>
      </c>
      <c r="Q187" s="397">
        <v>10</v>
      </c>
      <c r="R187" s="95">
        <f>S187/Q187</f>
        <v>1672</v>
      </c>
      <c r="S187" s="77">
        <f>O187</f>
        <v>16720</v>
      </c>
      <c r="T187" s="49" t="str">
        <f>P187</f>
        <v>ac</v>
      </c>
      <c r="U187" s="397">
        <f>Q187</f>
        <v>10</v>
      </c>
      <c r="V187" s="95">
        <v>1672</v>
      </c>
      <c r="W187" s="139">
        <f>U187*V187</f>
        <v>16720</v>
      </c>
      <c r="X187" s="177" t="str">
        <f>T187</f>
        <v>ac</v>
      </c>
      <c r="Y187" s="398">
        <f>U187</f>
        <v>10</v>
      </c>
      <c r="Z187" s="188">
        <v>1672</v>
      </c>
      <c r="AA187" s="139">
        <f>Y187*Z187</f>
        <v>16720</v>
      </c>
      <c r="AB187" s="177" t="str">
        <f>X187</f>
        <v>ac</v>
      </c>
      <c r="AC187" s="398">
        <f>Y187</f>
        <v>10</v>
      </c>
      <c r="AD187" s="188">
        <v>1672</v>
      </c>
      <c r="AE187" s="139">
        <f>AC187*AD187</f>
        <v>16720</v>
      </c>
    </row>
    <row r="188" spans="1:31" ht="12">
      <c r="A188" s="96"/>
      <c r="B188" s="15"/>
      <c r="C188" s="15" t="s">
        <v>15</v>
      </c>
      <c r="D188" s="15"/>
      <c r="E188" s="15"/>
      <c r="F188" s="15"/>
      <c r="G188" s="15"/>
      <c r="H188" s="300"/>
      <c r="I188" s="76"/>
      <c r="J188" s="76"/>
      <c r="K188" s="302"/>
      <c r="L188" s="124"/>
      <c r="M188" s="397"/>
      <c r="N188" s="76"/>
      <c r="O188" s="31"/>
      <c r="P188" s="78"/>
      <c r="Q188" s="397"/>
      <c r="R188" s="76"/>
      <c r="S188" s="77"/>
      <c r="T188" s="49"/>
      <c r="U188" s="53"/>
      <c r="V188" s="75"/>
      <c r="W188" s="448"/>
      <c r="X188" s="177"/>
      <c r="Y188" s="178"/>
      <c r="Z188" s="141"/>
      <c r="AA188" s="34"/>
      <c r="AB188" s="177"/>
      <c r="AC188" s="178"/>
      <c r="AD188" s="141"/>
      <c r="AE188" s="34"/>
    </row>
    <row r="189" spans="1:31" ht="12">
      <c r="A189" s="96" t="s">
        <v>290</v>
      </c>
      <c r="B189" s="15"/>
      <c r="C189" s="15"/>
      <c r="D189" s="15" t="s">
        <v>11</v>
      </c>
      <c r="E189" s="15"/>
      <c r="F189" s="15"/>
      <c r="G189" s="15"/>
      <c r="H189" s="300"/>
      <c r="I189" s="76"/>
      <c r="J189" s="76"/>
      <c r="K189" s="302"/>
      <c r="L189" s="124"/>
      <c r="M189" s="397"/>
      <c r="N189" s="76"/>
      <c r="O189" s="31"/>
      <c r="P189" s="78"/>
      <c r="Q189" s="397"/>
      <c r="R189" s="76"/>
      <c r="S189" s="77"/>
      <c r="T189" s="49"/>
      <c r="U189" s="53"/>
      <c r="V189" s="75"/>
      <c r="W189" s="448"/>
      <c r="X189" s="177"/>
      <c r="Y189" s="178"/>
      <c r="Z189" s="141"/>
      <c r="AA189" s="34"/>
      <c r="AB189" s="177"/>
      <c r="AC189" s="178"/>
      <c r="AD189" s="141"/>
      <c r="AE189" s="34"/>
    </row>
    <row r="190" spans="1:31" ht="12">
      <c r="A190" s="96" t="s">
        <v>291</v>
      </c>
      <c r="B190" s="15"/>
      <c r="C190" s="15"/>
      <c r="D190" s="15" t="s">
        <v>12</v>
      </c>
      <c r="E190" s="15"/>
      <c r="F190" s="15"/>
      <c r="G190" s="15"/>
      <c r="H190" s="300"/>
      <c r="I190" s="76"/>
      <c r="J190" s="76"/>
      <c r="K190" s="302"/>
      <c r="L190" s="124"/>
      <c r="M190" s="397"/>
      <c r="N190" s="76"/>
      <c r="O190" s="31"/>
      <c r="P190" s="78"/>
      <c r="Q190" s="397"/>
      <c r="R190" s="76"/>
      <c r="S190" s="77"/>
      <c r="T190" s="49"/>
      <c r="U190" s="53"/>
      <c r="V190" s="84"/>
      <c r="W190" s="448"/>
      <c r="X190" s="177"/>
      <c r="Y190" s="178"/>
      <c r="Z190" s="88"/>
      <c r="AA190" s="34"/>
      <c r="AB190" s="177"/>
      <c r="AC190" s="178"/>
      <c r="AD190" s="88"/>
      <c r="AE190" s="34"/>
    </row>
    <row r="191" spans="1:31" ht="12">
      <c r="A191" s="96" t="s">
        <v>292</v>
      </c>
      <c r="B191" s="15"/>
      <c r="C191" s="15"/>
      <c r="D191" s="15" t="s">
        <v>13</v>
      </c>
      <c r="E191" s="15"/>
      <c r="F191" s="15"/>
      <c r="G191" s="15"/>
      <c r="H191" s="300"/>
      <c r="I191" s="76"/>
      <c r="J191" s="76"/>
      <c r="K191" s="302"/>
      <c r="L191" s="124"/>
      <c r="M191" s="397"/>
      <c r="N191" s="76"/>
      <c r="O191" s="31"/>
      <c r="P191" s="78"/>
      <c r="Q191" s="397"/>
      <c r="R191" s="76"/>
      <c r="S191" s="77"/>
      <c r="T191" s="49"/>
      <c r="U191" s="53"/>
      <c r="V191" s="75"/>
      <c r="W191" s="448"/>
      <c r="X191" s="177"/>
      <c r="Y191" s="178"/>
      <c r="Z191" s="141"/>
      <c r="AA191" s="34"/>
      <c r="AB191" s="177"/>
      <c r="AC191" s="178"/>
      <c r="AD191" s="141"/>
      <c r="AE191" s="34"/>
    </row>
    <row r="192" spans="1:31" ht="12">
      <c r="A192" s="96" t="s">
        <v>293</v>
      </c>
      <c r="B192" s="15"/>
      <c r="C192" s="15"/>
      <c r="D192" s="15" t="s">
        <v>14</v>
      </c>
      <c r="E192" s="15"/>
      <c r="F192" s="15"/>
      <c r="G192" s="15"/>
      <c r="H192" s="300"/>
      <c r="I192" s="76"/>
      <c r="J192" s="76"/>
      <c r="K192" s="302"/>
      <c r="L192" s="124"/>
      <c r="M192" s="397"/>
      <c r="N192" s="76"/>
      <c r="O192" s="31"/>
      <c r="P192" s="78"/>
      <c r="Q192" s="397"/>
      <c r="R192" s="76"/>
      <c r="S192" s="77"/>
      <c r="T192" s="49"/>
      <c r="U192" s="53"/>
      <c r="V192" s="75"/>
      <c r="W192" s="448"/>
      <c r="X192" s="177"/>
      <c r="Y192" s="178"/>
      <c r="Z192" s="141"/>
      <c r="AA192" s="34"/>
      <c r="AB192" s="177"/>
      <c r="AC192" s="178"/>
      <c r="AD192" s="141"/>
      <c r="AE192" s="34"/>
    </row>
    <row r="193" spans="1:31" ht="12">
      <c r="A193" s="96"/>
      <c r="B193" s="15"/>
      <c r="C193" s="15" t="s">
        <v>16</v>
      </c>
      <c r="D193" s="15"/>
      <c r="E193" s="15"/>
      <c r="F193" s="15"/>
      <c r="G193" s="15"/>
      <c r="H193" s="300">
        <f>SUM(H183:H192)</f>
        <v>0</v>
      </c>
      <c r="I193" s="76">
        <f>SUM(I183:I192)</f>
        <v>0</v>
      </c>
      <c r="J193" s="76">
        <f>SUM(J183:J192)</f>
        <v>0</v>
      </c>
      <c r="K193" s="302">
        <f>SUM(K184:K192)</f>
        <v>26310</v>
      </c>
      <c r="L193" s="124" t="str">
        <f>L184</f>
        <v>ac</v>
      </c>
      <c r="M193" s="397">
        <f>M184</f>
        <v>10</v>
      </c>
      <c r="N193" s="95">
        <f>O193/M193</f>
        <v>2631</v>
      </c>
      <c r="O193" s="31">
        <f>SUM(O183:O192)</f>
        <v>26310</v>
      </c>
      <c r="P193" s="78" t="str">
        <f>P184</f>
        <v>ac</v>
      </c>
      <c r="Q193" s="397">
        <f>Q184</f>
        <v>10</v>
      </c>
      <c r="R193" s="95">
        <f>S193/Q193</f>
        <v>2631</v>
      </c>
      <c r="S193" s="77">
        <f>SUM(S183:S192)</f>
        <v>26310</v>
      </c>
      <c r="T193" s="49" t="str">
        <f>T184</f>
        <v>ac</v>
      </c>
      <c r="U193" s="397">
        <f>U184</f>
        <v>10</v>
      </c>
      <c r="V193" s="95">
        <f>W193/U193</f>
        <v>3882</v>
      </c>
      <c r="W193" s="77">
        <f>SUM(W183:W192)</f>
        <v>38820</v>
      </c>
      <c r="X193" s="177" t="str">
        <f>X184</f>
        <v>ac</v>
      </c>
      <c r="Y193" s="398">
        <f>Y184</f>
        <v>10</v>
      </c>
      <c r="Z193" s="188">
        <f>AA193/Y193</f>
        <v>3882</v>
      </c>
      <c r="AA193" s="139">
        <f>SUM(AA183:AA192)</f>
        <v>38820</v>
      </c>
      <c r="AB193" s="177" t="str">
        <f>AB184</f>
        <v>ac</v>
      </c>
      <c r="AC193" s="398">
        <f>AC184</f>
        <v>10</v>
      </c>
      <c r="AD193" s="188">
        <f>AE193/AC193</f>
        <v>3882</v>
      </c>
      <c r="AE193" s="139">
        <f>SUM(AE183:AE192)</f>
        <v>38820</v>
      </c>
    </row>
    <row r="194" spans="1:31" ht="12">
      <c r="A194" s="96"/>
      <c r="B194" s="15"/>
      <c r="C194" s="15" t="s">
        <v>10</v>
      </c>
      <c r="D194" s="15"/>
      <c r="E194" s="15"/>
      <c r="F194" s="15"/>
      <c r="G194" s="15"/>
      <c r="H194" s="300"/>
      <c r="I194" s="76"/>
      <c r="J194" s="76"/>
      <c r="K194" s="302"/>
      <c r="L194" s="124"/>
      <c r="M194" s="397"/>
      <c r="N194" s="76"/>
      <c r="O194" s="31"/>
      <c r="P194" s="78"/>
      <c r="Q194" s="397"/>
      <c r="R194" s="76"/>
      <c r="S194" s="77"/>
      <c r="T194" s="140"/>
      <c r="U194" s="178"/>
      <c r="V194" s="141"/>
      <c r="W194" s="34"/>
      <c r="X194" s="177"/>
      <c r="Y194" s="178"/>
      <c r="Z194" s="141"/>
      <c r="AA194" s="34"/>
      <c r="AB194" s="177"/>
      <c r="AC194" s="178"/>
      <c r="AD194" s="141"/>
      <c r="AE194" s="34"/>
    </row>
    <row r="195" spans="1:31" ht="12">
      <c r="A195" s="96" t="s">
        <v>294</v>
      </c>
      <c r="B195" s="15"/>
      <c r="C195" s="15"/>
      <c r="D195" s="15" t="s">
        <v>17</v>
      </c>
      <c r="E195" s="15"/>
      <c r="F195" s="15"/>
      <c r="G195" s="15"/>
      <c r="H195" s="300"/>
      <c r="I195" s="76"/>
      <c r="J195" s="76"/>
      <c r="K195" s="302"/>
      <c r="L195" s="124"/>
      <c r="M195" s="397"/>
      <c r="N195" s="76"/>
      <c r="O195" s="31"/>
      <c r="P195" s="78"/>
      <c r="Q195" s="397"/>
      <c r="R195" s="76"/>
      <c r="S195" s="77"/>
      <c r="T195" s="140"/>
      <c r="U195" s="178"/>
      <c r="V195" s="88"/>
      <c r="W195" s="34"/>
      <c r="X195" s="177"/>
      <c r="Y195" s="178"/>
      <c r="Z195" s="88"/>
      <c r="AA195" s="34"/>
      <c r="AB195" s="177"/>
      <c r="AC195" s="178"/>
      <c r="AD195" s="88"/>
      <c r="AE195" s="34"/>
    </row>
    <row r="196" spans="1:31" ht="12">
      <c r="A196" s="96" t="s">
        <v>295</v>
      </c>
      <c r="B196" s="15"/>
      <c r="C196" s="15"/>
      <c r="D196" s="15" t="s">
        <v>18</v>
      </c>
      <c r="E196" s="15"/>
      <c r="F196" s="15"/>
      <c r="G196" s="15"/>
      <c r="H196" s="300"/>
      <c r="I196" s="76"/>
      <c r="J196" s="76"/>
      <c r="K196" s="302">
        <v>5250</v>
      </c>
      <c r="L196" s="124" t="s">
        <v>9</v>
      </c>
      <c r="M196" s="397">
        <v>10</v>
      </c>
      <c r="N196" s="95">
        <f>O196/M196</f>
        <v>525</v>
      </c>
      <c r="O196" s="31">
        <f>K196</f>
        <v>5250</v>
      </c>
      <c r="P196" s="78" t="s">
        <v>9</v>
      </c>
      <c r="Q196" s="397">
        <v>10</v>
      </c>
      <c r="R196" s="95">
        <f>S196/Q196</f>
        <v>525</v>
      </c>
      <c r="S196" s="77">
        <f>O196</f>
        <v>5250</v>
      </c>
      <c r="T196" s="140" t="str">
        <f>P196</f>
        <v>ac</v>
      </c>
      <c r="U196" s="398">
        <f>Q196</f>
        <v>10</v>
      </c>
      <c r="V196" s="188">
        <v>1500</v>
      </c>
      <c r="W196" s="139">
        <f>U196*V196</f>
        <v>15000</v>
      </c>
      <c r="X196" s="177" t="str">
        <f>T196</f>
        <v>ac</v>
      </c>
      <c r="Y196" s="398">
        <f>U196</f>
        <v>10</v>
      </c>
      <c r="Z196" s="188">
        <v>1500</v>
      </c>
      <c r="AA196" s="139">
        <f>Y196*Z196</f>
        <v>15000</v>
      </c>
      <c r="AB196" s="177" t="str">
        <f>X196</f>
        <v>ac</v>
      </c>
      <c r="AC196" s="398">
        <f>Y196</f>
        <v>10</v>
      </c>
      <c r="AD196" s="188">
        <v>1500</v>
      </c>
      <c r="AE196" s="139">
        <f>AC196*AD196</f>
        <v>15000</v>
      </c>
    </row>
    <row r="197" spans="1:31" ht="12">
      <c r="A197" s="96"/>
      <c r="B197" s="15"/>
      <c r="C197" s="15" t="s">
        <v>15</v>
      </c>
      <c r="D197" s="15"/>
      <c r="E197" s="15"/>
      <c r="F197" s="15"/>
      <c r="G197" s="15"/>
      <c r="H197" s="300"/>
      <c r="I197" s="76"/>
      <c r="J197" s="76"/>
      <c r="K197" s="302"/>
      <c r="L197" s="124"/>
      <c r="M197" s="397"/>
      <c r="N197" s="76"/>
      <c r="O197" s="31"/>
      <c r="P197" s="78"/>
      <c r="Q197" s="397"/>
      <c r="R197" s="76"/>
      <c r="S197" s="77"/>
      <c r="T197" s="140"/>
      <c r="U197" s="178"/>
      <c r="V197" s="88"/>
      <c r="W197" s="34"/>
      <c r="X197" s="177"/>
      <c r="Y197" s="178"/>
      <c r="Z197" s="88"/>
      <c r="AA197" s="34"/>
      <c r="AB197" s="177"/>
      <c r="AC197" s="178"/>
      <c r="AD197" s="88"/>
      <c r="AE197" s="34"/>
    </row>
    <row r="198" spans="1:31" ht="12">
      <c r="A198" s="96" t="s">
        <v>296</v>
      </c>
      <c r="B198" s="15"/>
      <c r="C198" s="15"/>
      <c r="D198" s="15" t="s">
        <v>17</v>
      </c>
      <c r="E198" s="15"/>
      <c r="F198" s="15"/>
      <c r="G198" s="15"/>
      <c r="H198" s="300"/>
      <c r="I198" s="76"/>
      <c r="J198" s="76"/>
      <c r="K198" s="302"/>
      <c r="L198" s="124"/>
      <c r="M198" s="397"/>
      <c r="N198" s="76"/>
      <c r="O198" s="31"/>
      <c r="P198" s="78"/>
      <c r="Q198" s="397"/>
      <c r="R198" s="76"/>
      <c r="S198" s="77"/>
      <c r="T198" s="140"/>
      <c r="U198" s="178"/>
      <c r="V198" s="88"/>
      <c r="W198" s="34"/>
      <c r="X198" s="177"/>
      <c r="Y198" s="178"/>
      <c r="Z198" s="88"/>
      <c r="AA198" s="34"/>
      <c r="AB198" s="177"/>
      <c r="AC198" s="178"/>
      <c r="AD198" s="88"/>
      <c r="AE198" s="34"/>
    </row>
    <row r="199" spans="1:31" ht="12">
      <c r="A199" s="96" t="s">
        <v>297</v>
      </c>
      <c r="B199" s="15"/>
      <c r="C199" s="15"/>
      <c r="D199" s="15" t="s">
        <v>19</v>
      </c>
      <c r="E199" s="15"/>
      <c r="F199" s="15"/>
      <c r="G199" s="15"/>
      <c r="H199" s="303"/>
      <c r="I199" s="76"/>
      <c r="J199" s="76"/>
      <c r="K199" s="302"/>
      <c r="L199" s="124"/>
      <c r="M199" s="397"/>
      <c r="N199" s="76"/>
      <c r="O199" s="31"/>
      <c r="P199" s="78"/>
      <c r="Q199" s="397"/>
      <c r="R199" s="76"/>
      <c r="S199" s="77"/>
      <c r="T199" s="140"/>
      <c r="U199" s="178"/>
      <c r="V199" s="88"/>
      <c r="W199" s="34"/>
      <c r="X199" s="177"/>
      <c r="Y199" s="178"/>
      <c r="Z199" s="88"/>
      <c r="AA199" s="34"/>
      <c r="AB199" s="177"/>
      <c r="AC199" s="178"/>
      <c r="AD199" s="88"/>
      <c r="AE199" s="34"/>
    </row>
    <row r="200" spans="1:31" ht="12">
      <c r="A200" s="96"/>
      <c r="B200" s="15"/>
      <c r="C200" s="15" t="s">
        <v>20</v>
      </c>
      <c r="D200" s="15"/>
      <c r="E200" s="15"/>
      <c r="F200" s="15"/>
      <c r="G200" s="15"/>
      <c r="H200" s="300">
        <f>SUM(H194:H199)</f>
        <v>0</v>
      </c>
      <c r="I200" s="76">
        <f>SUM(I194:I199)</f>
        <v>0</v>
      </c>
      <c r="J200" s="76">
        <f>SUM(J194:J199)</f>
        <v>0</v>
      </c>
      <c r="K200" s="302">
        <f>SUM(K195:K199)</f>
        <v>5250</v>
      </c>
      <c r="L200" s="124" t="str">
        <f>L196</f>
        <v>ac</v>
      </c>
      <c r="M200" s="397">
        <f>M196</f>
        <v>10</v>
      </c>
      <c r="N200" s="95">
        <f>O200/M200</f>
        <v>525</v>
      </c>
      <c r="O200" s="31">
        <f>SUM(O194:O199)</f>
        <v>5250</v>
      </c>
      <c r="P200" s="78" t="str">
        <f>P196</f>
        <v>ac</v>
      </c>
      <c r="Q200" s="397">
        <f>Q196</f>
        <v>10</v>
      </c>
      <c r="R200" s="95">
        <f>S200/Q200</f>
        <v>525</v>
      </c>
      <c r="S200" s="77">
        <f>SUM(S194:S199)</f>
        <v>5250</v>
      </c>
      <c r="T200" s="140" t="str">
        <f>T196</f>
        <v>ac</v>
      </c>
      <c r="U200" s="398">
        <f>U196</f>
        <v>10</v>
      </c>
      <c r="V200" s="188">
        <f>W200/U200</f>
        <v>1500</v>
      </c>
      <c r="W200" s="139">
        <f>SUM(W194:W199)</f>
        <v>15000</v>
      </c>
      <c r="X200" s="177" t="str">
        <f>X196</f>
        <v>ac</v>
      </c>
      <c r="Y200" s="398">
        <f>Y196</f>
        <v>10</v>
      </c>
      <c r="Z200" s="188">
        <f>AA200/Y200</f>
        <v>1500</v>
      </c>
      <c r="AA200" s="139">
        <f>SUM(AA194:AA199)</f>
        <v>15000</v>
      </c>
      <c r="AB200" s="177" t="str">
        <f>AB196</f>
        <v>ac</v>
      </c>
      <c r="AC200" s="398">
        <f>AC196</f>
        <v>10</v>
      </c>
      <c r="AD200" s="188">
        <f>AE200/AC200</f>
        <v>1500</v>
      </c>
      <c r="AE200" s="139">
        <f>SUM(AE194:AE199)</f>
        <v>15000</v>
      </c>
    </row>
    <row r="201" spans="1:31" ht="12">
      <c r="A201" s="96"/>
      <c r="B201" s="86" t="s">
        <v>203</v>
      </c>
      <c r="C201" s="15"/>
      <c r="D201" s="15"/>
      <c r="E201" s="15"/>
      <c r="F201" s="15"/>
      <c r="G201" s="15"/>
      <c r="H201" s="300">
        <f>H193+H200+H182</f>
        <v>40000</v>
      </c>
      <c r="I201" s="76">
        <f>I193+I200+I182</f>
        <v>30000</v>
      </c>
      <c r="J201" s="76">
        <f>J193+J200+J182</f>
        <v>0</v>
      </c>
      <c r="K201" s="302">
        <f>K193+K200+K182</f>
        <v>101560</v>
      </c>
      <c r="L201" s="124" t="s">
        <v>9</v>
      </c>
      <c r="M201" s="397">
        <f>M193</f>
        <v>10</v>
      </c>
      <c r="N201" s="95">
        <f>O201/M201</f>
        <v>10156</v>
      </c>
      <c r="O201" s="31">
        <f>O193+O200+O182</f>
        <v>101560</v>
      </c>
      <c r="P201" s="78" t="s">
        <v>9</v>
      </c>
      <c r="Q201" s="397">
        <f>Q193</f>
        <v>10</v>
      </c>
      <c r="R201" s="95">
        <f>S201/Q201</f>
        <v>10156</v>
      </c>
      <c r="S201" s="77">
        <f>S193+S200+S182</f>
        <v>101560</v>
      </c>
      <c r="T201" s="140" t="s">
        <v>9</v>
      </c>
      <c r="U201" s="398">
        <f>U193</f>
        <v>10</v>
      </c>
      <c r="V201" s="188">
        <f>W201/U201</f>
        <v>12382</v>
      </c>
      <c r="W201" s="139">
        <f>W193+W200+W182</f>
        <v>123820</v>
      </c>
      <c r="X201" s="177" t="s">
        <v>9</v>
      </c>
      <c r="Y201" s="398">
        <f>Y193</f>
        <v>10</v>
      </c>
      <c r="Z201" s="188">
        <f>AA201/Y201</f>
        <v>12382</v>
      </c>
      <c r="AA201" s="139">
        <f>AA193+AA200+AA182</f>
        <v>123820</v>
      </c>
      <c r="AB201" s="177" t="s">
        <v>9</v>
      </c>
      <c r="AC201" s="398">
        <f>AC193</f>
        <v>10</v>
      </c>
      <c r="AD201" s="188">
        <f>AE201/AC201</f>
        <v>12382</v>
      </c>
      <c r="AE201" s="139">
        <f>AE193+AE200+AE182</f>
        <v>123820</v>
      </c>
    </row>
    <row r="202" spans="1:31" ht="12">
      <c r="A202" s="85"/>
      <c r="B202" s="15"/>
      <c r="C202" s="15"/>
      <c r="D202" s="15"/>
      <c r="E202" s="15"/>
      <c r="F202" s="15"/>
      <c r="G202" s="15"/>
      <c r="H202" s="300"/>
      <c r="I202" s="76"/>
      <c r="J202" s="76"/>
      <c r="K202" s="302"/>
      <c r="L202" s="124"/>
      <c r="M202" s="397"/>
      <c r="N202" s="76"/>
      <c r="O202" s="31"/>
      <c r="P202" s="78"/>
      <c r="Q202" s="397"/>
      <c r="R202" s="76"/>
      <c r="S202" s="77"/>
      <c r="T202" s="273"/>
      <c r="U202" s="235"/>
      <c r="V202" s="235"/>
      <c r="W202" s="236"/>
      <c r="X202" s="177"/>
      <c r="Y202" s="97"/>
      <c r="Z202" s="97"/>
      <c r="AA202" s="34"/>
      <c r="AB202" s="177"/>
      <c r="AC202" s="97"/>
      <c r="AD202" s="97"/>
      <c r="AE202" s="34"/>
    </row>
    <row r="203" spans="1:31" ht="12">
      <c r="A203" s="96" t="s">
        <v>298</v>
      </c>
      <c r="B203" s="86" t="s">
        <v>196</v>
      </c>
      <c r="C203" s="86"/>
      <c r="D203" s="86"/>
      <c r="E203" s="86"/>
      <c r="F203" s="86"/>
      <c r="G203" s="86"/>
      <c r="H203" s="195"/>
      <c r="I203" s="138"/>
      <c r="J203" s="138"/>
      <c r="K203" s="309"/>
      <c r="L203" s="257"/>
      <c r="M203" s="398"/>
      <c r="N203" s="138"/>
      <c r="O203" s="43"/>
      <c r="P203" s="107"/>
      <c r="Q203" s="398"/>
      <c r="R203" s="138"/>
      <c r="S203" s="139"/>
      <c r="T203" s="273"/>
      <c r="U203" s="235"/>
      <c r="V203" s="238"/>
      <c r="W203" s="236"/>
      <c r="X203" s="177"/>
      <c r="Y203" s="97"/>
      <c r="Z203" s="88"/>
      <c r="AA203" s="34"/>
      <c r="AB203" s="177"/>
      <c r="AC203" s="97"/>
      <c r="AD203" s="88"/>
      <c r="AE203" s="34"/>
    </row>
    <row r="204" spans="1:31" ht="12">
      <c r="A204" s="90" t="s">
        <v>299</v>
      </c>
      <c r="B204" s="15"/>
      <c r="C204" s="15" t="s">
        <v>30</v>
      </c>
      <c r="D204" s="15"/>
      <c r="E204" s="15"/>
      <c r="F204" s="15"/>
      <c r="G204" s="15"/>
      <c r="H204" s="300"/>
      <c r="I204" s="76"/>
      <c r="J204" s="76"/>
      <c r="K204" s="302">
        <f>H204+I204+J204</f>
        <v>0</v>
      </c>
      <c r="L204" s="124"/>
      <c r="M204" s="397"/>
      <c r="N204" s="76"/>
      <c r="O204" s="31">
        <f>K204</f>
        <v>0</v>
      </c>
      <c r="P204" s="78"/>
      <c r="Q204" s="397"/>
      <c r="R204" s="76"/>
      <c r="S204" s="77">
        <f>O204</f>
        <v>0</v>
      </c>
      <c r="T204" s="140"/>
      <c r="U204" s="178"/>
      <c r="V204" s="138"/>
      <c r="W204" s="34">
        <f>S204</f>
        <v>0</v>
      </c>
      <c r="X204" s="177"/>
      <c r="Y204" s="178"/>
      <c r="Z204" s="138"/>
      <c r="AA204" s="34">
        <f>W204</f>
        <v>0</v>
      </c>
      <c r="AB204" s="177"/>
      <c r="AC204" s="178"/>
      <c r="AD204" s="138"/>
      <c r="AE204" s="34">
        <f>AA204</f>
        <v>0</v>
      </c>
    </row>
    <row r="205" spans="1:31" ht="12">
      <c r="A205" s="96"/>
      <c r="B205" s="15"/>
      <c r="C205" s="15" t="s">
        <v>10</v>
      </c>
      <c r="D205" s="15"/>
      <c r="E205" s="15"/>
      <c r="F205" s="15"/>
      <c r="G205" s="15"/>
      <c r="H205" s="300"/>
      <c r="I205" s="76"/>
      <c r="J205" s="76"/>
      <c r="K205" s="302"/>
      <c r="L205" s="124"/>
      <c r="M205" s="397"/>
      <c r="N205" s="76"/>
      <c r="O205" s="31"/>
      <c r="P205" s="78"/>
      <c r="Q205" s="397"/>
      <c r="R205" s="76"/>
      <c r="S205" s="77"/>
      <c r="T205" s="49"/>
      <c r="U205" s="53"/>
      <c r="V205" s="76"/>
      <c r="W205" s="77"/>
      <c r="X205" s="177"/>
      <c r="Y205" s="178"/>
      <c r="Z205" s="138"/>
      <c r="AA205" s="139"/>
      <c r="AB205" s="177"/>
      <c r="AC205" s="178"/>
      <c r="AD205" s="138"/>
      <c r="AE205" s="139"/>
    </row>
    <row r="206" spans="1:31" ht="12">
      <c r="A206" s="96" t="s">
        <v>300</v>
      </c>
      <c r="B206" s="15"/>
      <c r="C206" s="15"/>
      <c r="D206" s="15" t="s">
        <v>11</v>
      </c>
      <c r="E206" s="15"/>
      <c r="F206" s="15"/>
      <c r="G206" s="15"/>
      <c r="H206" s="300"/>
      <c r="I206" s="76"/>
      <c r="J206" s="76"/>
      <c r="K206" s="302">
        <v>2091.6</v>
      </c>
      <c r="L206" s="124" t="s">
        <v>9</v>
      </c>
      <c r="M206" s="397">
        <v>8.4</v>
      </c>
      <c r="N206" s="95">
        <f>O206/M206</f>
        <v>248.99999999999997</v>
      </c>
      <c r="O206" s="31">
        <f>K206</f>
        <v>2091.6</v>
      </c>
      <c r="P206" s="78" t="s">
        <v>9</v>
      </c>
      <c r="Q206" s="397">
        <v>8.4</v>
      </c>
      <c r="R206" s="95">
        <f>S206/Q206</f>
        <v>248.99999999999997</v>
      </c>
      <c r="S206" s="77">
        <f aca="true" t="shared" si="9" ref="S206:U207">O206</f>
        <v>2091.6</v>
      </c>
      <c r="T206" s="49" t="str">
        <f t="shared" si="9"/>
        <v>ac</v>
      </c>
      <c r="U206" s="397">
        <f t="shared" si="9"/>
        <v>8.4</v>
      </c>
      <c r="V206" s="188">
        <v>1500</v>
      </c>
      <c r="W206" s="139">
        <f>U206*V206</f>
        <v>12600</v>
      </c>
      <c r="X206" s="177" t="str">
        <f>T206</f>
        <v>ac</v>
      </c>
      <c r="Y206" s="398">
        <f>U206</f>
        <v>8.4</v>
      </c>
      <c r="Z206" s="188">
        <v>1500</v>
      </c>
      <c r="AA206" s="139">
        <f>Y206*Z206</f>
        <v>12600</v>
      </c>
      <c r="AB206" s="177" t="str">
        <f>X206</f>
        <v>ac</v>
      </c>
      <c r="AC206" s="398">
        <f>Y206</f>
        <v>8.4</v>
      </c>
      <c r="AD206" s="188">
        <v>1500</v>
      </c>
      <c r="AE206" s="139">
        <f>AC206*AD206</f>
        <v>12600</v>
      </c>
    </row>
    <row r="207" spans="1:31" ht="12">
      <c r="A207" s="96" t="s">
        <v>301</v>
      </c>
      <c r="B207" s="15"/>
      <c r="C207" s="15"/>
      <c r="D207" s="15" t="s">
        <v>12</v>
      </c>
      <c r="E207" s="15"/>
      <c r="F207" s="15"/>
      <c r="G207" s="15"/>
      <c r="H207" s="300"/>
      <c r="I207" s="76"/>
      <c r="J207" s="76"/>
      <c r="K207" s="302">
        <v>5964</v>
      </c>
      <c r="L207" s="124" t="s">
        <v>9</v>
      </c>
      <c r="M207" s="397">
        <v>8.4</v>
      </c>
      <c r="N207" s="95">
        <f>O207/M207</f>
        <v>710</v>
      </c>
      <c r="O207" s="31">
        <f>K207</f>
        <v>5964</v>
      </c>
      <c r="P207" s="78" t="s">
        <v>9</v>
      </c>
      <c r="Q207" s="397">
        <v>8.4</v>
      </c>
      <c r="R207" s="95">
        <f>S207/Q207</f>
        <v>710</v>
      </c>
      <c r="S207" s="77">
        <f t="shared" si="9"/>
        <v>5964</v>
      </c>
      <c r="T207" s="49" t="str">
        <f t="shared" si="9"/>
        <v>ac</v>
      </c>
      <c r="U207" s="397">
        <f t="shared" si="9"/>
        <v>8.4</v>
      </c>
      <c r="V207" s="138">
        <v>710</v>
      </c>
      <c r="W207" s="139">
        <f>U207*V207</f>
        <v>5964</v>
      </c>
      <c r="X207" s="177" t="str">
        <f>T207</f>
        <v>ac</v>
      </c>
      <c r="Y207" s="398">
        <f>U207</f>
        <v>8.4</v>
      </c>
      <c r="Z207" s="138">
        <v>710</v>
      </c>
      <c r="AA207" s="139">
        <f>Y207*Z207</f>
        <v>5964</v>
      </c>
      <c r="AB207" s="177" t="str">
        <f>X207</f>
        <v>ac</v>
      </c>
      <c r="AC207" s="398">
        <f>Y207</f>
        <v>8.4</v>
      </c>
      <c r="AD207" s="138">
        <v>710</v>
      </c>
      <c r="AE207" s="139">
        <f>AC207*AD207</f>
        <v>5964</v>
      </c>
    </row>
    <row r="208" spans="1:31" ht="12">
      <c r="A208" s="96" t="s">
        <v>302</v>
      </c>
      <c r="B208" s="15"/>
      <c r="C208" s="15"/>
      <c r="D208" s="15" t="s">
        <v>13</v>
      </c>
      <c r="E208" s="15"/>
      <c r="F208" s="15"/>
      <c r="G208" s="15"/>
      <c r="H208" s="303"/>
      <c r="I208" s="73"/>
      <c r="J208" s="73"/>
      <c r="K208" s="304"/>
      <c r="L208" s="124"/>
      <c r="M208" s="397"/>
      <c r="N208" s="95"/>
      <c r="O208" s="31"/>
      <c r="P208" s="78"/>
      <c r="Q208" s="397"/>
      <c r="R208" s="95"/>
      <c r="S208" s="77"/>
      <c r="T208" s="49"/>
      <c r="U208" s="53"/>
      <c r="V208" s="188"/>
      <c r="W208" s="139"/>
      <c r="X208" s="177"/>
      <c r="Y208" s="178"/>
      <c r="Z208" s="188"/>
      <c r="AA208" s="139"/>
      <c r="AB208" s="177"/>
      <c r="AC208" s="178"/>
      <c r="AD208" s="188"/>
      <c r="AE208" s="139"/>
    </row>
    <row r="209" spans="1:31" ht="12">
      <c r="A209" s="96" t="s">
        <v>303</v>
      </c>
      <c r="B209" s="15"/>
      <c r="C209" s="15"/>
      <c r="D209" s="15" t="s">
        <v>14</v>
      </c>
      <c r="E209" s="15"/>
      <c r="F209" s="15"/>
      <c r="G209" s="15"/>
      <c r="H209" s="300"/>
      <c r="I209" s="76"/>
      <c r="J209" s="76"/>
      <c r="K209" s="302">
        <v>14044.8</v>
      </c>
      <c r="L209" s="124" t="s">
        <v>9</v>
      </c>
      <c r="M209" s="397">
        <v>8.4</v>
      </c>
      <c r="N209" s="95">
        <f>O209/M209</f>
        <v>1671.9999999999998</v>
      </c>
      <c r="O209" s="31">
        <f>K209</f>
        <v>14044.8</v>
      </c>
      <c r="P209" s="78" t="s">
        <v>9</v>
      </c>
      <c r="Q209" s="397">
        <v>8.4</v>
      </c>
      <c r="R209" s="95">
        <f>S209/Q209</f>
        <v>1671.9999999999998</v>
      </c>
      <c r="S209" s="77">
        <f>O209</f>
        <v>14044.8</v>
      </c>
      <c r="T209" s="49" t="str">
        <f>P209</f>
        <v>ac</v>
      </c>
      <c r="U209" s="397">
        <f>Q209</f>
        <v>8.4</v>
      </c>
      <c r="V209" s="95">
        <v>1672</v>
      </c>
      <c r="W209" s="139">
        <f>U209*V209</f>
        <v>14044.800000000001</v>
      </c>
      <c r="X209" s="177" t="str">
        <f>T209</f>
        <v>ac</v>
      </c>
      <c r="Y209" s="398">
        <f>U209</f>
        <v>8.4</v>
      </c>
      <c r="Z209" s="188">
        <v>1672</v>
      </c>
      <c r="AA209" s="139">
        <f>Y209*Z209</f>
        <v>14044.800000000001</v>
      </c>
      <c r="AB209" s="177" t="str">
        <f>X209</f>
        <v>ac</v>
      </c>
      <c r="AC209" s="398">
        <f>Y209</f>
        <v>8.4</v>
      </c>
      <c r="AD209" s="188">
        <v>1672</v>
      </c>
      <c r="AE209" s="139">
        <f>AC209*AD209</f>
        <v>14044.800000000001</v>
      </c>
    </row>
    <row r="210" spans="1:31" ht="12">
      <c r="A210" s="96"/>
      <c r="B210" s="15"/>
      <c r="C210" s="15" t="s">
        <v>15</v>
      </c>
      <c r="D210" s="15"/>
      <c r="E210" s="15"/>
      <c r="F210" s="15"/>
      <c r="G210" s="15"/>
      <c r="H210" s="300"/>
      <c r="I210" s="76"/>
      <c r="J210" s="76"/>
      <c r="K210" s="302"/>
      <c r="L210" s="124"/>
      <c r="M210" s="397"/>
      <c r="N210" s="76"/>
      <c r="O210" s="31"/>
      <c r="P210" s="78"/>
      <c r="Q210" s="397"/>
      <c r="R210" s="76"/>
      <c r="S210" s="77"/>
      <c r="T210" s="49"/>
      <c r="U210" s="53"/>
      <c r="V210" s="75"/>
      <c r="W210" s="448"/>
      <c r="X210" s="177"/>
      <c r="Y210" s="178"/>
      <c r="Z210" s="141"/>
      <c r="AA210" s="34"/>
      <c r="AB210" s="177"/>
      <c r="AC210" s="178"/>
      <c r="AD210" s="141"/>
      <c r="AE210" s="34"/>
    </row>
    <row r="211" spans="1:31" ht="12">
      <c r="A211" s="96" t="s">
        <v>304</v>
      </c>
      <c r="B211" s="15"/>
      <c r="C211" s="15"/>
      <c r="D211" s="15" t="s">
        <v>11</v>
      </c>
      <c r="E211" s="15"/>
      <c r="F211" s="15"/>
      <c r="G211" s="15"/>
      <c r="H211" s="300"/>
      <c r="I211" s="76"/>
      <c r="J211" s="76"/>
      <c r="K211" s="302"/>
      <c r="L211" s="124"/>
      <c r="M211" s="397"/>
      <c r="N211" s="76"/>
      <c r="O211" s="31"/>
      <c r="P211" s="78"/>
      <c r="Q211" s="397"/>
      <c r="R211" s="76"/>
      <c r="S211" s="77"/>
      <c r="T211" s="49"/>
      <c r="U211" s="53"/>
      <c r="V211" s="75"/>
      <c r="W211" s="448"/>
      <c r="X211" s="177"/>
      <c r="Y211" s="178"/>
      <c r="Z211" s="141"/>
      <c r="AA211" s="34"/>
      <c r="AB211" s="177"/>
      <c r="AC211" s="178"/>
      <c r="AD211" s="141"/>
      <c r="AE211" s="34"/>
    </row>
    <row r="212" spans="1:31" ht="12">
      <c r="A212" s="96" t="s">
        <v>305</v>
      </c>
      <c r="B212" s="15"/>
      <c r="C212" s="15"/>
      <c r="D212" s="15" t="s">
        <v>12</v>
      </c>
      <c r="E212" s="15"/>
      <c r="F212" s="15"/>
      <c r="G212" s="15"/>
      <c r="H212" s="300"/>
      <c r="I212" s="76"/>
      <c r="J212" s="76"/>
      <c r="K212" s="302"/>
      <c r="L212" s="124"/>
      <c r="M212" s="397"/>
      <c r="N212" s="76"/>
      <c r="O212" s="31"/>
      <c r="P212" s="78"/>
      <c r="Q212" s="397"/>
      <c r="R212" s="76"/>
      <c r="S212" s="77"/>
      <c r="T212" s="49"/>
      <c r="U212" s="53"/>
      <c r="V212" s="84"/>
      <c r="W212" s="448"/>
      <c r="X212" s="177"/>
      <c r="Y212" s="178"/>
      <c r="Z212" s="88"/>
      <c r="AA212" s="34"/>
      <c r="AB212" s="177"/>
      <c r="AC212" s="178"/>
      <c r="AD212" s="88"/>
      <c r="AE212" s="34"/>
    </row>
    <row r="213" spans="1:31" ht="12">
      <c r="A213" s="96" t="s">
        <v>306</v>
      </c>
      <c r="B213" s="15"/>
      <c r="C213" s="15"/>
      <c r="D213" s="15" t="s">
        <v>13</v>
      </c>
      <c r="E213" s="15"/>
      <c r="F213" s="15"/>
      <c r="G213" s="15"/>
      <c r="H213" s="300"/>
      <c r="I213" s="76"/>
      <c r="J213" s="76"/>
      <c r="K213" s="302"/>
      <c r="L213" s="124"/>
      <c r="M213" s="397"/>
      <c r="N213" s="76"/>
      <c r="O213" s="31"/>
      <c r="P213" s="78"/>
      <c r="Q213" s="397"/>
      <c r="R213" s="76"/>
      <c r="S213" s="77"/>
      <c r="T213" s="49"/>
      <c r="U213" s="53"/>
      <c r="V213" s="75"/>
      <c r="W213" s="448"/>
      <c r="X213" s="177"/>
      <c r="Y213" s="178"/>
      <c r="Z213" s="141"/>
      <c r="AA213" s="34"/>
      <c r="AB213" s="177"/>
      <c r="AC213" s="178"/>
      <c r="AD213" s="141"/>
      <c r="AE213" s="34"/>
    </row>
    <row r="214" spans="1:31" ht="12">
      <c r="A214" s="96" t="s">
        <v>307</v>
      </c>
      <c r="B214" s="15"/>
      <c r="C214" s="15"/>
      <c r="D214" s="15" t="s">
        <v>14</v>
      </c>
      <c r="E214" s="15"/>
      <c r="F214" s="15"/>
      <c r="G214" s="15"/>
      <c r="H214" s="300"/>
      <c r="I214" s="76"/>
      <c r="J214" s="76"/>
      <c r="K214" s="302"/>
      <c r="L214" s="124"/>
      <c r="M214" s="397"/>
      <c r="N214" s="76"/>
      <c r="O214" s="31"/>
      <c r="P214" s="78"/>
      <c r="Q214" s="397"/>
      <c r="R214" s="76"/>
      <c r="S214" s="77"/>
      <c r="T214" s="49"/>
      <c r="U214" s="53"/>
      <c r="V214" s="75"/>
      <c r="W214" s="448"/>
      <c r="X214" s="177"/>
      <c r="Y214" s="178"/>
      <c r="Z214" s="141"/>
      <c r="AA214" s="34"/>
      <c r="AB214" s="177"/>
      <c r="AC214" s="178"/>
      <c r="AD214" s="141"/>
      <c r="AE214" s="34"/>
    </row>
    <row r="215" spans="1:31" ht="12">
      <c r="A215" s="96"/>
      <c r="B215" s="15"/>
      <c r="C215" s="15" t="s">
        <v>16</v>
      </c>
      <c r="D215" s="15"/>
      <c r="E215" s="15"/>
      <c r="F215" s="15"/>
      <c r="G215" s="15"/>
      <c r="H215" s="300">
        <f>SUM(H205:H214)</f>
        <v>0</v>
      </c>
      <c r="I215" s="76">
        <f>SUM(I205:I214)</f>
        <v>0</v>
      </c>
      <c r="J215" s="76">
        <f>SUM(J205:J214)</f>
        <v>0</v>
      </c>
      <c r="K215" s="302">
        <f>SUM(K206:K214)</f>
        <v>22100.4</v>
      </c>
      <c r="L215" s="124" t="str">
        <f>L206</f>
        <v>ac</v>
      </c>
      <c r="M215" s="397">
        <f>M206</f>
        <v>8.4</v>
      </c>
      <c r="N215" s="95">
        <f>O215/M215</f>
        <v>2631</v>
      </c>
      <c r="O215" s="31">
        <f>SUM(O205:O214)</f>
        <v>22100.4</v>
      </c>
      <c r="P215" s="78" t="str">
        <f>P206</f>
        <v>ac</v>
      </c>
      <c r="Q215" s="397">
        <f>Q206</f>
        <v>8.4</v>
      </c>
      <c r="R215" s="95">
        <f>S215/Q215</f>
        <v>2631</v>
      </c>
      <c r="S215" s="77">
        <f>SUM(S205:S214)</f>
        <v>22100.4</v>
      </c>
      <c r="T215" s="49" t="str">
        <f>T206</f>
        <v>ac</v>
      </c>
      <c r="U215" s="397">
        <f>U206</f>
        <v>8.4</v>
      </c>
      <c r="V215" s="95">
        <f>W215/U215</f>
        <v>3882</v>
      </c>
      <c r="W215" s="77">
        <f>SUM(W205:W214)</f>
        <v>32608.800000000003</v>
      </c>
      <c r="X215" s="177" t="str">
        <f>X206</f>
        <v>ac</v>
      </c>
      <c r="Y215" s="398">
        <f>Y206</f>
        <v>8.4</v>
      </c>
      <c r="Z215" s="188">
        <f>AA215/Y215</f>
        <v>3882</v>
      </c>
      <c r="AA215" s="139">
        <f>SUM(AA205:AA214)</f>
        <v>32608.800000000003</v>
      </c>
      <c r="AB215" s="177" t="str">
        <f>AB206</f>
        <v>ac</v>
      </c>
      <c r="AC215" s="398">
        <f>AC206</f>
        <v>8.4</v>
      </c>
      <c r="AD215" s="188">
        <f>AE215/AC215</f>
        <v>3882</v>
      </c>
      <c r="AE215" s="139">
        <f>SUM(AE205:AE214)</f>
        <v>32608.800000000003</v>
      </c>
    </row>
    <row r="216" spans="1:31" ht="12">
      <c r="A216" s="96"/>
      <c r="B216" s="15"/>
      <c r="C216" s="15" t="s">
        <v>10</v>
      </c>
      <c r="D216" s="15"/>
      <c r="E216" s="15"/>
      <c r="F216" s="15"/>
      <c r="G216" s="15"/>
      <c r="H216" s="300"/>
      <c r="I216" s="76"/>
      <c r="J216" s="76"/>
      <c r="K216" s="302"/>
      <c r="L216" s="124"/>
      <c r="M216" s="397"/>
      <c r="N216" s="76"/>
      <c r="O216" s="31"/>
      <c r="P216" s="78"/>
      <c r="Q216" s="397"/>
      <c r="R216" s="76"/>
      <c r="S216" s="77"/>
      <c r="T216" s="140"/>
      <c r="U216" s="178"/>
      <c r="V216" s="141"/>
      <c r="W216" s="34"/>
      <c r="X216" s="177"/>
      <c r="Y216" s="178"/>
      <c r="Z216" s="141"/>
      <c r="AA216" s="34"/>
      <c r="AB216" s="177"/>
      <c r="AC216" s="178"/>
      <c r="AD216" s="141"/>
      <c r="AE216" s="34"/>
    </row>
    <row r="217" spans="1:31" ht="12">
      <c r="A217" s="96" t="s">
        <v>308</v>
      </c>
      <c r="B217" s="15"/>
      <c r="C217" s="15"/>
      <c r="D217" s="15" t="s">
        <v>17</v>
      </c>
      <c r="E217" s="15"/>
      <c r="F217" s="15"/>
      <c r="G217" s="15"/>
      <c r="H217" s="300"/>
      <c r="I217" s="76"/>
      <c r="J217" s="76"/>
      <c r="K217" s="302"/>
      <c r="L217" s="124"/>
      <c r="M217" s="397"/>
      <c r="N217" s="76"/>
      <c r="O217" s="31"/>
      <c r="P217" s="78"/>
      <c r="Q217" s="397"/>
      <c r="R217" s="76"/>
      <c r="S217" s="77"/>
      <c r="T217" s="140"/>
      <c r="U217" s="178"/>
      <c r="V217" s="88"/>
      <c r="W217" s="34"/>
      <c r="X217" s="177"/>
      <c r="Y217" s="178"/>
      <c r="Z217" s="88"/>
      <c r="AA217" s="34"/>
      <c r="AB217" s="177"/>
      <c r="AC217" s="178"/>
      <c r="AD217" s="88"/>
      <c r="AE217" s="34"/>
    </row>
    <row r="218" spans="1:31" ht="12">
      <c r="A218" s="96" t="s">
        <v>309</v>
      </c>
      <c r="B218" s="15"/>
      <c r="C218" s="15"/>
      <c r="D218" s="15" t="s">
        <v>18</v>
      </c>
      <c r="E218" s="15"/>
      <c r="F218" s="15"/>
      <c r="G218" s="15"/>
      <c r="H218" s="300"/>
      <c r="I218" s="76"/>
      <c r="J218" s="76"/>
      <c r="K218" s="302">
        <v>4410</v>
      </c>
      <c r="L218" s="124" t="s">
        <v>9</v>
      </c>
      <c r="M218" s="397">
        <v>8.4</v>
      </c>
      <c r="N218" s="95">
        <f>O218/M218</f>
        <v>525</v>
      </c>
      <c r="O218" s="31">
        <f>K218</f>
        <v>4410</v>
      </c>
      <c r="P218" s="78" t="s">
        <v>9</v>
      </c>
      <c r="Q218" s="397">
        <v>8.4</v>
      </c>
      <c r="R218" s="95">
        <f>S218/Q218</f>
        <v>525</v>
      </c>
      <c r="S218" s="77">
        <f>O218</f>
        <v>4410</v>
      </c>
      <c r="T218" s="140" t="str">
        <f>P218</f>
        <v>ac</v>
      </c>
      <c r="U218" s="398">
        <f>Q218</f>
        <v>8.4</v>
      </c>
      <c r="V218" s="188">
        <v>1500</v>
      </c>
      <c r="W218" s="139">
        <f>U218*V218</f>
        <v>12600</v>
      </c>
      <c r="X218" s="177" t="str">
        <f>T218</f>
        <v>ac</v>
      </c>
      <c r="Y218" s="398">
        <f>U218</f>
        <v>8.4</v>
      </c>
      <c r="Z218" s="188">
        <v>1500</v>
      </c>
      <c r="AA218" s="139">
        <f>Y218*Z218</f>
        <v>12600</v>
      </c>
      <c r="AB218" s="177" t="str">
        <f>X218</f>
        <v>ac</v>
      </c>
      <c r="AC218" s="398">
        <f>Y218</f>
        <v>8.4</v>
      </c>
      <c r="AD218" s="188">
        <v>1500</v>
      </c>
      <c r="AE218" s="139">
        <f>AC218*AD218</f>
        <v>12600</v>
      </c>
    </row>
    <row r="219" spans="1:31" ht="12">
      <c r="A219" s="96"/>
      <c r="B219" s="15"/>
      <c r="C219" s="15" t="s">
        <v>15</v>
      </c>
      <c r="D219" s="15"/>
      <c r="E219" s="15"/>
      <c r="F219" s="15"/>
      <c r="G219" s="15"/>
      <c r="H219" s="300"/>
      <c r="I219" s="76"/>
      <c r="J219" s="76"/>
      <c r="K219" s="302"/>
      <c r="L219" s="124"/>
      <c r="M219" s="397"/>
      <c r="N219" s="76"/>
      <c r="O219" s="31"/>
      <c r="P219" s="78"/>
      <c r="Q219" s="397"/>
      <c r="R219" s="76"/>
      <c r="S219" s="77"/>
      <c r="T219" s="140"/>
      <c r="U219" s="178"/>
      <c r="V219" s="88"/>
      <c r="W219" s="34"/>
      <c r="X219" s="177"/>
      <c r="Y219" s="178"/>
      <c r="Z219" s="88"/>
      <c r="AA219" s="34"/>
      <c r="AB219" s="177"/>
      <c r="AC219" s="178"/>
      <c r="AD219" s="88"/>
      <c r="AE219" s="34"/>
    </row>
    <row r="220" spans="1:31" ht="12">
      <c r="A220" s="96" t="s">
        <v>310</v>
      </c>
      <c r="B220" s="15"/>
      <c r="C220" s="15"/>
      <c r="D220" s="15" t="s">
        <v>17</v>
      </c>
      <c r="E220" s="15"/>
      <c r="F220" s="15"/>
      <c r="G220" s="15"/>
      <c r="H220" s="300"/>
      <c r="I220" s="76"/>
      <c r="J220" s="76"/>
      <c r="K220" s="302"/>
      <c r="L220" s="124"/>
      <c r="M220" s="397"/>
      <c r="N220" s="76"/>
      <c r="O220" s="31"/>
      <c r="P220" s="78"/>
      <c r="Q220" s="397"/>
      <c r="R220" s="76"/>
      <c r="S220" s="77"/>
      <c r="T220" s="140"/>
      <c r="U220" s="178"/>
      <c r="V220" s="88"/>
      <c r="W220" s="34"/>
      <c r="X220" s="177"/>
      <c r="Y220" s="178"/>
      <c r="Z220" s="88"/>
      <c r="AA220" s="34"/>
      <c r="AB220" s="177"/>
      <c r="AC220" s="178"/>
      <c r="AD220" s="88"/>
      <c r="AE220" s="34"/>
    </row>
    <row r="221" spans="1:31" ht="12">
      <c r="A221" s="96" t="s">
        <v>311</v>
      </c>
      <c r="B221" s="15"/>
      <c r="C221" s="15"/>
      <c r="D221" s="15" t="s">
        <v>19</v>
      </c>
      <c r="E221" s="15"/>
      <c r="F221" s="15"/>
      <c r="G221" s="15"/>
      <c r="H221" s="303"/>
      <c r="I221" s="76"/>
      <c r="J221" s="76"/>
      <c r="K221" s="302"/>
      <c r="L221" s="124"/>
      <c r="M221" s="397"/>
      <c r="N221" s="76"/>
      <c r="O221" s="31"/>
      <c r="P221" s="78"/>
      <c r="Q221" s="397"/>
      <c r="R221" s="76"/>
      <c r="S221" s="77"/>
      <c r="T221" s="140"/>
      <c r="U221" s="178"/>
      <c r="V221" s="88"/>
      <c r="W221" s="34"/>
      <c r="X221" s="177"/>
      <c r="Y221" s="178"/>
      <c r="Z221" s="88"/>
      <c r="AA221" s="34"/>
      <c r="AB221" s="177"/>
      <c r="AC221" s="178"/>
      <c r="AD221" s="88"/>
      <c r="AE221" s="34"/>
    </row>
    <row r="222" spans="1:31" ht="12">
      <c r="A222" s="96"/>
      <c r="B222" s="15"/>
      <c r="C222" s="15" t="s">
        <v>20</v>
      </c>
      <c r="D222" s="15"/>
      <c r="E222" s="15"/>
      <c r="F222" s="15"/>
      <c r="G222" s="15"/>
      <c r="H222" s="300">
        <f>SUM(H216:H221)</f>
        <v>0</v>
      </c>
      <c r="I222" s="76">
        <f>SUM(I216:I221)</f>
        <v>0</v>
      </c>
      <c r="J222" s="76">
        <f>SUM(J216:J221)</f>
        <v>0</v>
      </c>
      <c r="K222" s="302">
        <f>SUM(K217:K221)</f>
        <v>4410</v>
      </c>
      <c r="L222" s="124" t="str">
        <f>L218</f>
        <v>ac</v>
      </c>
      <c r="M222" s="397">
        <f>M218</f>
        <v>8.4</v>
      </c>
      <c r="N222" s="95">
        <f>O222/M222</f>
        <v>525</v>
      </c>
      <c r="O222" s="31">
        <f>SUM(O216:O221)</f>
        <v>4410</v>
      </c>
      <c r="P222" s="78" t="str">
        <f>P218</f>
        <v>ac</v>
      </c>
      <c r="Q222" s="397">
        <f>Q218</f>
        <v>8.4</v>
      </c>
      <c r="R222" s="95">
        <f>S222/Q222</f>
        <v>525</v>
      </c>
      <c r="S222" s="77">
        <f>SUM(S216:S221)</f>
        <v>4410</v>
      </c>
      <c r="T222" s="140" t="str">
        <f>T218</f>
        <v>ac</v>
      </c>
      <c r="U222" s="398">
        <f>U218</f>
        <v>8.4</v>
      </c>
      <c r="V222" s="188">
        <f>W222/U222</f>
        <v>1500</v>
      </c>
      <c r="W222" s="139">
        <f>SUM(W216:W221)</f>
        <v>12600</v>
      </c>
      <c r="X222" s="177" t="str">
        <f>X218</f>
        <v>ac</v>
      </c>
      <c r="Y222" s="398">
        <f>Y218</f>
        <v>8.4</v>
      </c>
      <c r="Z222" s="188">
        <f>AA222/Y222</f>
        <v>1500</v>
      </c>
      <c r="AA222" s="139">
        <f>SUM(AA216:AA221)</f>
        <v>12600</v>
      </c>
      <c r="AB222" s="177" t="str">
        <f>AB218</f>
        <v>ac</v>
      </c>
      <c r="AC222" s="398">
        <f>AC218</f>
        <v>8.4</v>
      </c>
      <c r="AD222" s="188">
        <f>AE222/AC222</f>
        <v>1500</v>
      </c>
      <c r="AE222" s="139">
        <f>SUM(AE216:AE221)</f>
        <v>12600</v>
      </c>
    </row>
    <row r="223" spans="1:31" ht="12">
      <c r="A223" s="96"/>
      <c r="B223" s="86" t="s">
        <v>197</v>
      </c>
      <c r="C223" s="15"/>
      <c r="D223" s="15"/>
      <c r="E223" s="15"/>
      <c r="F223" s="15"/>
      <c r="G223" s="15"/>
      <c r="H223" s="300">
        <f>H215+H222+H204</f>
        <v>0</v>
      </c>
      <c r="I223" s="76">
        <f>I215+I222+I204</f>
        <v>0</v>
      </c>
      <c r="J223" s="76">
        <f>J215+J222+J204</f>
        <v>0</v>
      </c>
      <c r="K223" s="302">
        <f>K215+K222+K204</f>
        <v>26510.4</v>
      </c>
      <c r="L223" s="124" t="s">
        <v>9</v>
      </c>
      <c r="M223" s="397">
        <f>M215</f>
        <v>8.4</v>
      </c>
      <c r="N223" s="95">
        <f>O223/M223</f>
        <v>3156</v>
      </c>
      <c r="O223" s="31">
        <f>O215+O222+O204</f>
        <v>26510.4</v>
      </c>
      <c r="P223" s="78" t="s">
        <v>9</v>
      </c>
      <c r="Q223" s="397">
        <f>Q215</f>
        <v>8.4</v>
      </c>
      <c r="R223" s="95">
        <f>S223/Q223</f>
        <v>3156</v>
      </c>
      <c r="S223" s="77">
        <f>S215+S222+S204</f>
        <v>26510.4</v>
      </c>
      <c r="T223" s="140" t="s">
        <v>9</v>
      </c>
      <c r="U223" s="398">
        <f>U215</f>
        <v>8.4</v>
      </c>
      <c r="V223" s="188">
        <f>W223/U223</f>
        <v>5382</v>
      </c>
      <c r="W223" s="139">
        <f>W215+W222+W204</f>
        <v>45208.8</v>
      </c>
      <c r="X223" s="177" t="s">
        <v>9</v>
      </c>
      <c r="Y223" s="398">
        <f>Y215</f>
        <v>8.4</v>
      </c>
      <c r="Z223" s="188">
        <f>AA223/Y223</f>
        <v>5382</v>
      </c>
      <c r="AA223" s="139">
        <f>AA215+AA222+AA204</f>
        <v>45208.8</v>
      </c>
      <c r="AB223" s="177" t="s">
        <v>9</v>
      </c>
      <c r="AC223" s="398">
        <f>AC215</f>
        <v>8.4</v>
      </c>
      <c r="AD223" s="188">
        <f>AE223/AC223</f>
        <v>5382</v>
      </c>
      <c r="AE223" s="139">
        <f>AE215+AE222+AE204</f>
        <v>45208.8</v>
      </c>
    </row>
    <row r="224" spans="1:31" ht="12">
      <c r="A224" s="85"/>
      <c r="B224" s="15"/>
      <c r="C224" s="15"/>
      <c r="D224" s="15"/>
      <c r="E224" s="15"/>
      <c r="F224" s="15"/>
      <c r="G224" s="15"/>
      <c r="H224" s="300"/>
      <c r="I224" s="76"/>
      <c r="J224" s="76"/>
      <c r="K224" s="302"/>
      <c r="L224" s="124"/>
      <c r="M224" s="397"/>
      <c r="N224" s="76"/>
      <c r="O224" s="31"/>
      <c r="P224" s="78"/>
      <c r="Q224" s="397"/>
      <c r="R224" s="76"/>
      <c r="S224" s="77"/>
      <c r="T224" s="273"/>
      <c r="U224" s="235"/>
      <c r="V224" s="235"/>
      <c r="W224" s="236"/>
      <c r="X224" s="231"/>
      <c r="Y224" s="235"/>
      <c r="Z224" s="235"/>
      <c r="AA224" s="236"/>
      <c r="AB224" s="231"/>
      <c r="AC224" s="235"/>
      <c r="AD224" s="235"/>
      <c r="AE224" s="236"/>
    </row>
    <row r="225" spans="1:31" ht="12">
      <c r="A225" s="85" t="s">
        <v>312</v>
      </c>
      <c r="B225" s="86" t="s">
        <v>198</v>
      </c>
      <c r="C225" s="86"/>
      <c r="D225" s="86"/>
      <c r="E225" s="86"/>
      <c r="F225" s="86"/>
      <c r="G225" s="86"/>
      <c r="H225" s="195"/>
      <c r="I225" s="138"/>
      <c r="J225" s="138"/>
      <c r="K225" s="309"/>
      <c r="L225" s="257"/>
      <c r="M225" s="398"/>
      <c r="N225" s="138"/>
      <c r="O225" s="43"/>
      <c r="P225" s="107"/>
      <c r="Q225" s="398"/>
      <c r="R225" s="138"/>
      <c r="S225" s="139"/>
      <c r="T225" s="273"/>
      <c r="U225" s="235"/>
      <c r="V225" s="238"/>
      <c r="W225" s="236"/>
      <c r="X225" s="231"/>
      <c r="Y225" s="235"/>
      <c r="Z225" s="238"/>
      <c r="AA225" s="236"/>
      <c r="AB225" s="231"/>
      <c r="AC225" s="235"/>
      <c r="AD225" s="238"/>
      <c r="AE225" s="236"/>
    </row>
    <row r="226" spans="1:31" ht="12">
      <c r="A226" s="85" t="s">
        <v>313</v>
      </c>
      <c r="B226" s="86"/>
      <c r="C226" s="15" t="s">
        <v>30</v>
      </c>
      <c r="D226" s="15"/>
      <c r="E226" s="86"/>
      <c r="F226" s="86"/>
      <c r="G226" s="86"/>
      <c r="H226" s="300"/>
      <c r="I226" s="76"/>
      <c r="J226" s="76"/>
      <c r="K226" s="302">
        <f>H226+I226+J226</f>
        <v>0</v>
      </c>
      <c r="L226" s="124"/>
      <c r="M226" s="397"/>
      <c r="N226" s="76"/>
      <c r="O226" s="31">
        <f>K226</f>
        <v>0</v>
      </c>
      <c r="P226" s="107"/>
      <c r="Q226" s="398"/>
      <c r="R226" s="76"/>
      <c r="S226" s="139">
        <f>O226</f>
        <v>0</v>
      </c>
      <c r="T226" s="140"/>
      <c r="U226" s="178"/>
      <c r="V226" s="138"/>
      <c r="W226" s="34">
        <f>S226</f>
        <v>0</v>
      </c>
      <c r="X226" s="177"/>
      <c r="Y226" s="178"/>
      <c r="Z226" s="138"/>
      <c r="AA226" s="34">
        <f>W226</f>
        <v>0</v>
      </c>
      <c r="AB226" s="177"/>
      <c r="AC226" s="178"/>
      <c r="AD226" s="138"/>
      <c r="AE226" s="34">
        <f>AA226</f>
        <v>0</v>
      </c>
    </row>
    <row r="227" spans="1:31" ht="12">
      <c r="A227" s="96"/>
      <c r="B227" s="15"/>
      <c r="C227" s="15" t="s">
        <v>10</v>
      </c>
      <c r="D227" s="15"/>
      <c r="E227" s="15"/>
      <c r="F227" s="15"/>
      <c r="G227" s="15"/>
      <c r="H227" s="300"/>
      <c r="I227" s="76"/>
      <c r="J227" s="76"/>
      <c r="K227" s="302"/>
      <c r="L227" s="124"/>
      <c r="M227" s="397"/>
      <c r="N227" s="76"/>
      <c r="O227" s="31"/>
      <c r="P227" s="78"/>
      <c r="Q227" s="397"/>
      <c r="R227" s="76"/>
      <c r="S227" s="77"/>
      <c r="T227" s="49"/>
      <c r="U227" s="53"/>
      <c r="V227" s="76"/>
      <c r="W227" s="77"/>
      <c r="X227" s="177"/>
      <c r="Y227" s="178"/>
      <c r="Z227" s="138"/>
      <c r="AA227" s="139"/>
      <c r="AB227" s="177"/>
      <c r="AC227" s="178"/>
      <c r="AD227" s="138"/>
      <c r="AE227" s="139"/>
    </row>
    <row r="228" spans="1:31" ht="12">
      <c r="A228" s="96" t="s">
        <v>314</v>
      </c>
      <c r="B228" s="15"/>
      <c r="C228" s="15"/>
      <c r="D228" s="15" t="s">
        <v>11</v>
      </c>
      <c r="E228" s="15"/>
      <c r="F228" s="15"/>
      <c r="G228" s="15"/>
      <c r="H228" s="300"/>
      <c r="I228" s="76"/>
      <c r="J228" s="76"/>
      <c r="K228" s="302">
        <v>1245</v>
      </c>
      <c r="L228" s="124" t="s">
        <v>9</v>
      </c>
      <c r="M228" s="397">
        <v>5</v>
      </c>
      <c r="N228" s="95">
        <f>O228/M228</f>
        <v>249</v>
      </c>
      <c r="O228" s="31">
        <f>K228</f>
        <v>1245</v>
      </c>
      <c r="P228" s="78" t="s">
        <v>9</v>
      </c>
      <c r="Q228" s="397">
        <v>5</v>
      </c>
      <c r="R228" s="95">
        <f>S228/Q228</f>
        <v>249</v>
      </c>
      <c r="S228" s="77">
        <f aca="true" t="shared" si="10" ref="S228:U229">O228</f>
        <v>1245</v>
      </c>
      <c r="T228" s="49" t="str">
        <f t="shared" si="10"/>
        <v>ac</v>
      </c>
      <c r="U228" s="397">
        <f t="shared" si="10"/>
        <v>5</v>
      </c>
      <c r="V228" s="188">
        <v>1500</v>
      </c>
      <c r="W228" s="139">
        <f>U228*V228</f>
        <v>7500</v>
      </c>
      <c r="X228" s="177" t="str">
        <f>T228</f>
        <v>ac</v>
      </c>
      <c r="Y228" s="398">
        <f>U228</f>
        <v>5</v>
      </c>
      <c r="Z228" s="188">
        <v>1500</v>
      </c>
      <c r="AA228" s="139">
        <f>Y228*Z228</f>
        <v>7500</v>
      </c>
      <c r="AB228" s="177" t="str">
        <f>X228</f>
        <v>ac</v>
      </c>
      <c r="AC228" s="398">
        <f>Y228</f>
        <v>5</v>
      </c>
      <c r="AD228" s="188">
        <v>1500</v>
      </c>
      <c r="AE228" s="139">
        <f>AC228*AD228</f>
        <v>7500</v>
      </c>
    </row>
    <row r="229" spans="1:31" ht="12">
      <c r="A229" s="96" t="s">
        <v>315</v>
      </c>
      <c r="B229" s="15"/>
      <c r="C229" s="15"/>
      <c r="D229" s="15" t="s">
        <v>12</v>
      </c>
      <c r="E229" s="15"/>
      <c r="F229" s="15"/>
      <c r="G229" s="15"/>
      <c r="H229" s="300"/>
      <c r="I229" s="76"/>
      <c r="J229" s="76"/>
      <c r="K229" s="302">
        <v>3550</v>
      </c>
      <c r="L229" s="124" t="s">
        <v>9</v>
      </c>
      <c r="M229" s="397">
        <v>5</v>
      </c>
      <c r="N229" s="95">
        <f>O229/M229</f>
        <v>710</v>
      </c>
      <c r="O229" s="31">
        <f>K229</f>
        <v>3550</v>
      </c>
      <c r="P229" s="78" t="s">
        <v>9</v>
      </c>
      <c r="Q229" s="397">
        <v>5</v>
      </c>
      <c r="R229" s="95">
        <f>S229/Q229</f>
        <v>710</v>
      </c>
      <c r="S229" s="77">
        <f t="shared" si="10"/>
        <v>3550</v>
      </c>
      <c r="T229" s="49" t="str">
        <f t="shared" si="10"/>
        <v>ac</v>
      </c>
      <c r="U229" s="397">
        <f t="shared" si="10"/>
        <v>5</v>
      </c>
      <c r="V229" s="138">
        <v>710</v>
      </c>
      <c r="W229" s="139">
        <f>U229*V229</f>
        <v>3550</v>
      </c>
      <c r="X229" s="177" t="str">
        <f>T229</f>
        <v>ac</v>
      </c>
      <c r="Y229" s="398">
        <f>U229</f>
        <v>5</v>
      </c>
      <c r="Z229" s="138">
        <v>710</v>
      </c>
      <c r="AA229" s="139">
        <f>Y229*Z229</f>
        <v>3550</v>
      </c>
      <c r="AB229" s="177" t="str">
        <f>X229</f>
        <v>ac</v>
      </c>
      <c r="AC229" s="398">
        <f>Y229</f>
        <v>5</v>
      </c>
      <c r="AD229" s="138">
        <v>710</v>
      </c>
      <c r="AE229" s="139">
        <f>AC229*AD229</f>
        <v>3550</v>
      </c>
    </row>
    <row r="230" spans="1:31" ht="12">
      <c r="A230" s="96" t="s">
        <v>316</v>
      </c>
      <c r="B230" s="15"/>
      <c r="C230" s="15"/>
      <c r="D230" s="15" t="s">
        <v>13</v>
      </c>
      <c r="E230" s="15"/>
      <c r="F230" s="15"/>
      <c r="G230" s="15"/>
      <c r="H230" s="303"/>
      <c r="I230" s="73"/>
      <c r="J230" s="73"/>
      <c r="K230" s="304"/>
      <c r="L230" s="124"/>
      <c r="M230" s="397"/>
      <c r="N230" s="95"/>
      <c r="O230" s="31"/>
      <c r="P230" s="78"/>
      <c r="Q230" s="397"/>
      <c r="R230" s="95"/>
      <c r="S230" s="77"/>
      <c r="T230" s="49"/>
      <c r="U230" s="53"/>
      <c r="V230" s="188"/>
      <c r="W230" s="139"/>
      <c r="X230" s="177"/>
      <c r="Y230" s="178"/>
      <c r="Z230" s="188"/>
      <c r="AA230" s="139"/>
      <c r="AB230" s="177"/>
      <c r="AC230" s="178"/>
      <c r="AD230" s="188"/>
      <c r="AE230" s="139"/>
    </row>
    <row r="231" spans="1:31" ht="12">
      <c r="A231" s="96" t="s">
        <v>317</v>
      </c>
      <c r="B231" s="15"/>
      <c r="C231" s="15"/>
      <c r="D231" s="15" t="s">
        <v>14</v>
      </c>
      <c r="E231" s="15"/>
      <c r="F231" s="15"/>
      <c r="G231" s="15"/>
      <c r="H231" s="300"/>
      <c r="I231" s="76"/>
      <c r="J231" s="76"/>
      <c r="K231" s="302">
        <v>8360</v>
      </c>
      <c r="L231" s="124" t="s">
        <v>9</v>
      </c>
      <c r="M231" s="397">
        <v>5</v>
      </c>
      <c r="N231" s="95">
        <f>O231/M231</f>
        <v>1672</v>
      </c>
      <c r="O231" s="31">
        <f>K231</f>
        <v>8360</v>
      </c>
      <c r="P231" s="78" t="s">
        <v>9</v>
      </c>
      <c r="Q231" s="397">
        <v>5</v>
      </c>
      <c r="R231" s="95">
        <f>S231/Q231</f>
        <v>1672</v>
      </c>
      <c r="S231" s="77">
        <f>O231</f>
        <v>8360</v>
      </c>
      <c r="T231" s="49" t="str">
        <f>P231</f>
        <v>ac</v>
      </c>
      <c r="U231" s="397">
        <f>Q231</f>
        <v>5</v>
      </c>
      <c r="V231" s="95">
        <v>1672</v>
      </c>
      <c r="W231" s="139">
        <f>U231*V231</f>
        <v>8360</v>
      </c>
      <c r="X231" s="177" t="str">
        <f>T231</f>
        <v>ac</v>
      </c>
      <c r="Y231" s="398">
        <f>U231</f>
        <v>5</v>
      </c>
      <c r="Z231" s="188">
        <v>1672</v>
      </c>
      <c r="AA231" s="139">
        <f>Y231*Z231</f>
        <v>8360</v>
      </c>
      <c r="AB231" s="177" t="str">
        <f>X231</f>
        <v>ac</v>
      </c>
      <c r="AC231" s="398">
        <f>Y231</f>
        <v>5</v>
      </c>
      <c r="AD231" s="188">
        <v>1672</v>
      </c>
      <c r="AE231" s="139">
        <f>AC231*AD231</f>
        <v>8360</v>
      </c>
    </row>
    <row r="232" spans="1:31" ht="12">
      <c r="A232" s="96"/>
      <c r="B232" s="15"/>
      <c r="C232" s="15" t="s">
        <v>15</v>
      </c>
      <c r="D232" s="15"/>
      <c r="E232" s="15"/>
      <c r="F232" s="15"/>
      <c r="G232" s="15"/>
      <c r="H232" s="300"/>
      <c r="I232" s="76"/>
      <c r="J232" s="76"/>
      <c r="K232" s="302"/>
      <c r="L232" s="124"/>
      <c r="M232" s="397"/>
      <c r="N232" s="76"/>
      <c r="O232" s="31"/>
      <c r="P232" s="78"/>
      <c r="Q232" s="397"/>
      <c r="R232" s="76"/>
      <c r="S232" s="77"/>
      <c r="T232" s="49"/>
      <c r="U232" s="53"/>
      <c r="V232" s="75"/>
      <c r="W232" s="448"/>
      <c r="X232" s="177"/>
      <c r="Y232" s="178"/>
      <c r="Z232" s="141"/>
      <c r="AA232" s="34"/>
      <c r="AB232" s="177"/>
      <c r="AC232" s="178"/>
      <c r="AD232" s="141"/>
      <c r="AE232" s="34"/>
    </row>
    <row r="233" spans="1:31" ht="12">
      <c r="A233" s="96" t="s">
        <v>318</v>
      </c>
      <c r="B233" s="15"/>
      <c r="C233" s="15"/>
      <c r="D233" s="15" t="s">
        <v>11</v>
      </c>
      <c r="E233" s="15"/>
      <c r="F233" s="15"/>
      <c r="G233" s="15"/>
      <c r="H233" s="300"/>
      <c r="I233" s="76"/>
      <c r="J233" s="76"/>
      <c r="K233" s="302"/>
      <c r="L233" s="124"/>
      <c r="M233" s="397"/>
      <c r="N233" s="76"/>
      <c r="O233" s="31"/>
      <c r="P233" s="78"/>
      <c r="Q233" s="397"/>
      <c r="R233" s="76"/>
      <c r="S233" s="77"/>
      <c r="T233" s="49"/>
      <c r="U233" s="53"/>
      <c r="V233" s="75"/>
      <c r="W233" s="448"/>
      <c r="X233" s="177"/>
      <c r="Y233" s="178"/>
      <c r="Z233" s="141"/>
      <c r="AA233" s="34"/>
      <c r="AB233" s="177"/>
      <c r="AC233" s="178"/>
      <c r="AD233" s="141"/>
      <c r="AE233" s="34"/>
    </row>
    <row r="234" spans="1:31" ht="12">
      <c r="A234" s="96" t="s">
        <v>319</v>
      </c>
      <c r="B234" s="15"/>
      <c r="C234" s="15"/>
      <c r="D234" s="15" t="s">
        <v>12</v>
      </c>
      <c r="E234" s="15"/>
      <c r="F234" s="15"/>
      <c r="G234" s="15"/>
      <c r="H234" s="300"/>
      <c r="I234" s="76"/>
      <c r="J234" s="76"/>
      <c r="K234" s="302"/>
      <c r="L234" s="124"/>
      <c r="M234" s="397"/>
      <c r="N234" s="76"/>
      <c r="O234" s="31"/>
      <c r="P234" s="78"/>
      <c r="Q234" s="397"/>
      <c r="R234" s="76"/>
      <c r="S234" s="77"/>
      <c r="T234" s="49"/>
      <c r="U234" s="53"/>
      <c r="V234" s="84"/>
      <c r="W234" s="448"/>
      <c r="X234" s="177"/>
      <c r="Y234" s="178"/>
      <c r="Z234" s="88"/>
      <c r="AA234" s="34"/>
      <c r="AB234" s="177"/>
      <c r="AC234" s="178"/>
      <c r="AD234" s="88"/>
      <c r="AE234" s="34"/>
    </row>
    <row r="235" spans="1:31" ht="12">
      <c r="A235" s="96" t="s">
        <v>320</v>
      </c>
      <c r="B235" s="15"/>
      <c r="C235" s="15"/>
      <c r="D235" s="15" t="s">
        <v>13</v>
      </c>
      <c r="E235" s="15"/>
      <c r="F235" s="15"/>
      <c r="G235" s="15"/>
      <c r="H235" s="300"/>
      <c r="I235" s="76"/>
      <c r="J235" s="76"/>
      <c r="K235" s="302"/>
      <c r="L235" s="124"/>
      <c r="M235" s="397"/>
      <c r="N235" s="76"/>
      <c r="O235" s="31"/>
      <c r="P235" s="78"/>
      <c r="Q235" s="397"/>
      <c r="R235" s="76"/>
      <c r="S235" s="77"/>
      <c r="T235" s="49"/>
      <c r="U235" s="53"/>
      <c r="V235" s="75"/>
      <c r="W235" s="448"/>
      <c r="X235" s="177"/>
      <c r="Y235" s="178"/>
      <c r="Z235" s="141"/>
      <c r="AA235" s="34"/>
      <c r="AB235" s="177"/>
      <c r="AC235" s="178"/>
      <c r="AD235" s="141"/>
      <c r="AE235" s="34"/>
    </row>
    <row r="236" spans="1:31" ht="12">
      <c r="A236" s="96" t="s">
        <v>321</v>
      </c>
      <c r="B236" s="15"/>
      <c r="C236" s="15"/>
      <c r="D236" s="15" t="s">
        <v>14</v>
      </c>
      <c r="E236" s="15"/>
      <c r="F236" s="15"/>
      <c r="G236" s="15"/>
      <c r="H236" s="300"/>
      <c r="I236" s="76"/>
      <c r="J236" s="76"/>
      <c r="K236" s="302"/>
      <c r="L236" s="124"/>
      <c r="M236" s="397"/>
      <c r="N236" s="76"/>
      <c r="O236" s="31"/>
      <c r="P236" s="78"/>
      <c r="Q236" s="397"/>
      <c r="R236" s="76"/>
      <c r="S236" s="77"/>
      <c r="T236" s="49"/>
      <c r="U236" s="53"/>
      <c r="V236" s="75"/>
      <c r="W236" s="448"/>
      <c r="X236" s="177"/>
      <c r="Y236" s="178"/>
      <c r="Z236" s="141"/>
      <c r="AA236" s="34"/>
      <c r="AB236" s="177"/>
      <c r="AC236" s="178"/>
      <c r="AD236" s="141"/>
      <c r="AE236" s="34"/>
    </row>
    <row r="237" spans="1:31" ht="12">
      <c r="A237" s="96"/>
      <c r="B237" s="15"/>
      <c r="C237" s="15" t="s">
        <v>16</v>
      </c>
      <c r="D237" s="15"/>
      <c r="E237" s="15"/>
      <c r="F237" s="15"/>
      <c r="G237" s="15"/>
      <c r="H237" s="300">
        <f>SUM(H227:H236)</f>
        <v>0</v>
      </c>
      <c r="I237" s="76">
        <f>SUM(I227:I236)</f>
        <v>0</v>
      </c>
      <c r="J237" s="76">
        <f>SUM(J227:J236)</f>
        <v>0</v>
      </c>
      <c r="K237" s="302">
        <f>SUM(K228:K236)</f>
        <v>13155</v>
      </c>
      <c r="L237" s="124" t="str">
        <f>L228</f>
        <v>ac</v>
      </c>
      <c r="M237" s="397">
        <f>M228</f>
        <v>5</v>
      </c>
      <c r="N237" s="95">
        <f>O237/M237</f>
        <v>2631</v>
      </c>
      <c r="O237" s="31">
        <f>SUM(O227:O236)</f>
        <v>13155</v>
      </c>
      <c r="P237" s="78" t="str">
        <f>P228</f>
        <v>ac</v>
      </c>
      <c r="Q237" s="397">
        <f>Q228</f>
        <v>5</v>
      </c>
      <c r="R237" s="95">
        <f>S237/Q237</f>
        <v>2631</v>
      </c>
      <c r="S237" s="77">
        <f>SUM(S227:S236)</f>
        <v>13155</v>
      </c>
      <c r="T237" s="49" t="str">
        <f>T228</f>
        <v>ac</v>
      </c>
      <c r="U237" s="397">
        <f>U228</f>
        <v>5</v>
      </c>
      <c r="V237" s="95">
        <f>W237/U237</f>
        <v>3882</v>
      </c>
      <c r="W237" s="77">
        <f>SUM(W227:W236)</f>
        <v>19410</v>
      </c>
      <c r="X237" s="177" t="str">
        <f>X228</f>
        <v>ac</v>
      </c>
      <c r="Y237" s="398">
        <f>Y228</f>
        <v>5</v>
      </c>
      <c r="Z237" s="188">
        <f>AA237/Y237</f>
        <v>3882</v>
      </c>
      <c r="AA237" s="139">
        <f>SUM(AA227:AA236)</f>
        <v>19410</v>
      </c>
      <c r="AB237" s="177" t="str">
        <f>AB228</f>
        <v>ac</v>
      </c>
      <c r="AC237" s="398">
        <f>AC228</f>
        <v>5</v>
      </c>
      <c r="AD237" s="188">
        <f>AE237/AC237</f>
        <v>3882</v>
      </c>
      <c r="AE237" s="139">
        <f>SUM(AE227:AE236)</f>
        <v>19410</v>
      </c>
    </row>
    <row r="238" spans="1:31" ht="12">
      <c r="A238" s="96"/>
      <c r="B238" s="15"/>
      <c r="C238" s="15" t="s">
        <v>10</v>
      </c>
      <c r="D238" s="15"/>
      <c r="E238" s="15"/>
      <c r="F238" s="15"/>
      <c r="G238" s="15"/>
      <c r="H238" s="300"/>
      <c r="I238" s="76"/>
      <c r="J238" s="76"/>
      <c r="K238" s="302"/>
      <c r="L238" s="124"/>
      <c r="M238" s="397"/>
      <c r="N238" s="76"/>
      <c r="O238" s="31"/>
      <c r="P238" s="78"/>
      <c r="Q238" s="397"/>
      <c r="R238" s="76"/>
      <c r="S238" s="77"/>
      <c r="T238" s="140"/>
      <c r="U238" s="178"/>
      <c r="V238" s="141"/>
      <c r="W238" s="34"/>
      <c r="X238" s="177"/>
      <c r="Y238" s="178"/>
      <c r="Z238" s="141"/>
      <c r="AA238" s="34"/>
      <c r="AB238" s="177"/>
      <c r="AC238" s="178"/>
      <c r="AD238" s="141"/>
      <c r="AE238" s="34"/>
    </row>
    <row r="239" spans="1:31" ht="12">
      <c r="A239" s="96" t="s">
        <v>322</v>
      </c>
      <c r="B239" s="15"/>
      <c r="C239" s="15"/>
      <c r="D239" s="15" t="s">
        <v>17</v>
      </c>
      <c r="E239" s="15"/>
      <c r="F239" s="15"/>
      <c r="G239" s="15"/>
      <c r="H239" s="300"/>
      <c r="I239" s="76"/>
      <c r="J239" s="76"/>
      <c r="K239" s="302"/>
      <c r="L239" s="124"/>
      <c r="M239" s="397"/>
      <c r="N239" s="76"/>
      <c r="O239" s="31"/>
      <c r="P239" s="78"/>
      <c r="Q239" s="397"/>
      <c r="R239" s="76"/>
      <c r="S239" s="77"/>
      <c r="T239" s="140"/>
      <c r="U239" s="178"/>
      <c r="V239" s="88"/>
      <c r="W239" s="34"/>
      <c r="X239" s="177"/>
      <c r="Y239" s="178"/>
      <c r="Z239" s="88"/>
      <c r="AA239" s="34"/>
      <c r="AB239" s="177"/>
      <c r="AC239" s="178"/>
      <c r="AD239" s="88"/>
      <c r="AE239" s="34"/>
    </row>
    <row r="240" spans="1:31" ht="12">
      <c r="A240" s="96" t="s">
        <v>323</v>
      </c>
      <c r="B240" s="15"/>
      <c r="C240" s="15"/>
      <c r="D240" s="15" t="s">
        <v>18</v>
      </c>
      <c r="E240" s="15"/>
      <c r="F240" s="15"/>
      <c r="G240" s="15"/>
      <c r="H240" s="300"/>
      <c r="I240" s="76"/>
      <c r="J240" s="76"/>
      <c r="K240" s="302">
        <v>2625</v>
      </c>
      <c r="L240" s="124" t="s">
        <v>9</v>
      </c>
      <c r="M240" s="397">
        <v>5</v>
      </c>
      <c r="N240" s="95">
        <f>O240/M240</f>
        <v>525</v>
      </c>
      <c r="O240" s="31">
        <f>K240</f>
        <v>2625</v>
      </c>
      <c r="P240" s="78" t="s">
        <v>9</v>
      </c>
      <c r="Q240" s="397">
        <v>5</v>
      </c>
      <c r="R240" s="95">
        <f>S240/Q240</f>
        <v>525</v>
      </c>
      <c r="S240" s="77">
        <f>O240</f>
        <v>2625</v>
      </c>
      <c r="T240" s="140" t="str">
        <f>P240</f>
        <v>ac</v>
      </c>
      <c r="U240" s="398">
        <f>Q240</f>
        <v>5</v>
      </c>
      <c r="V240" s="188">
        <v>1500</v>
      </c>
      <c r="W240" s="139">
        <f>U240*V240</f>
        <v>7500</v>
      </c>
      <c r="X240" s="177" t="str">
        <f>T240</f>
        <v>ac</v>
      </c>
      <c r="Y240" s="398">
        <f>U240</f>
        <v>5</v>
      </c>
      <c r="Z240" s="188">
        <v>1500</v>
      </c>
      <c r="AA240" s="139">
        <f>Y240*Z240</f>
        <v>7500</v>
      </c>
      <c r="AB240" s="177" t="str">
        <f>X240</f>
        <v>ac</v>
      </c>
      <c r="AC240" s="398">
        <f>Y240</f>
        <v>5</v>
      </c>
      <c r="AD240" s="188">
        <v>1500</v>
      </c>
      <c r="AE240" s="139">
        <f>AC240*AD240</f>
        <v>7500</v>
      </c>
    </row>
    <row r="241" spans="1:31" ht="12">
      <c r="A241" s="96"/>
      <c r="B241" s="15"/>
      <c r="C241" s="15" t="s">
        <v>15</v>
      </c>
      <c r="D241" s="15"/>
      <c r="E241" s="15"/>
      <c r="F241" s="15"/>
      <c r="G241" s="15"/>
      <c r="H241" s="300"/>
      <c r="I241" s="76"/>
      <c r="J241" s="76"/>
      <c r="K241" s="302"/>
      <c r="L241" s="124"/>
      <c r="M241" s="397"/>
      <c r="N241" s="76"/>
      <c r="O241" s="31"/>
      <c r="P241" s="78"/>
      <c r="Q241" s="397"/>
      <c r="R241" s="76"/>
      <c r="S241" s="77"/>
      <c r="T241" s="140"/>
      <c r="U241" s="178"/>
      <c r="V241" s="88"/>
      <c r="W241" s="34"/>
      <c r="X241" s="177"/>
      <c r="Y241" s="178"/>
      <c r="Z241" s="88"/>
      <c r="AA241" s="34"/>
      <c r="AB241" s="177"/>
      <c r="AC241" s="178"/>
      <c r="AD241" s="88"/>
      <c r="AE241" s="34"/>
    </row>
    <row r="242" spans="1:31" ht="12">
      <c r="A242" s="96" t="s">
        <v>324</v>
      </c>
      <c r="B242" s="15"/>
      <c r="C242" s="15"/>
      <c r="D242" s="15" t="s">
        <v>17</v>
      </c>
      <c r="E242" s="15"/>
      <c r="F242" s="15"/>
      <c r="G242" s="15"/>
      <c r="H242" s="300"/>
      <c r="I242" s="76"/>
      <c r="J242" s="76"/>
      <c r="K242" s="302"/>
      <c r="L242" s="124"/>
      <c r="M242" s="397"/>
      <c r="N242" s="76"/>
      <c r="O242" s="31"/>
      <c r="P242" s="78"/>
      <c r="Q242" s="397"/>
      <c r="R242" s="76"/>
      <c r="S242" s="77"/>
      <c r="T242" s="140"/>
      <c r="U242" s="178"/>
      <c r="V242" s="88"/>
      <c r="W242" s="34"/>
      <c r="X242" s="177"/>
      <c r="Y242" s="178"/>
      <c r="Z242" s="88"/>
      <c r="AA242" s="34"/>
      <c r="AB242" s="177"/>
      <c r="AC242" s="178"/>
      <c r="AD242" s="88"/>
      <c r="AE242" s="34"/>
    </row>
    <row r="243" spans="1:31" ht="12">
      <c r="A243" s="96" t="s">
        <v>325</v>
      </c>
      <c r="B243" s="15"/>
      <c r="C243" s="15"/>
      <c r="D243" s="15" t="s">
        <v>19</v>
      </c>
      <c r="E243" s="15"/>
      <c r="F243" s="15"/>
      <c r="G243" s="15"/>
      <c r="H243" s="303"/>
      <c r="I243" s="76"/>
      <c r="J243" s="76"/>
      <c r="K243" s="302"/>
      <c r="L243" s="124"/>
      <c r="M243" s="397"/>
      <c r="N243" s="76"/>
      <c r="O243" s="31"/>
      <c r="P243" s="78"/>
      <c r="Q243" s="397"/>
      <c r="R243" s="76"/>
      <c r="S243" s="77"/>
      <c r="T243" s="140"/>
      <c r="U243" s="178"/>
      <c r="V243" s="88"/>
      <c r="W243" s="34"/>
      <c r="X243" s="177"/>
      <c r="Y243" s="178"/>
      <c r="Z243" s="88"/>
      <c r="AA243" s="34"/>
      <c r="AB243" s="177"/>
      <c r="AC243" s="178"/>
      <c r="AD243" s="88"/>
      <c r="AE243" s="34"/>
    </row>
    <row r="244" spans="1:31" ht="12">
      <c r="A244" s="96"/>
      <c r="B244" s="15"/>
      <c r="C244" s="15" t="s">
        <v>20</v>
      </c>
      <c r="D244" s="15"/>
      <c r="E244" s="15"/>
      <c r="F244" s="15"/>
      <c r="G244" s="15"/>
      <c r="H244" s="300">
        <f>SUM(H238:H243)</f>
        <v>0</v>
      </c>
      <c r="I244" s="76">
        <f>SUM(I238:I243)</f>
        <v>0</v>
      </c>
      <c r="J244" s="76">
        <f>SUM(J238:J243)</f>
        <v>0</v>
      </c>
      <c r="K244" s="302">
        <f>SUM(K239:K243)</f>
        <v>2625</v>
      </c>
      <c r="L244" s="124" t="str">
        <f>L240</f>
        <v>ac</v>
      </c>
      <c r="M244" s="397">
        <f>M240</f>
        <v>5</v>
      </c>
      <c r="N244" s="95">
        <f>O244/M244</f>
        <v>525</v>
      </c>
      <c r="O244" s="31">
        <f>SUM(O238:O243)</f>
        <v>2625</v>
      </c>
      <c r="P244" s="78" t="str">
        <f>P240</f>
        <v>ac</v>
      </c>
      <c r="Q244" s="397">
        <f>Q240</f>
        <v>5</v>
      </c>
      <c r="R244" s="95">
        <f>S244/Q244</f>
        <v>525</v>
      </c>
      <c r="S244" s="77">
        <f>SUM(S238:S243)</f>
        <v>2625</v>
      </c>
      <c r="T244" s="140" t="str">
        <f>T240</f>
        <v>ac</v>
      </c>
      <c r="U244" s="398">
        <f>U240</f>
        <v>5</v>
      </c>
      <c r="V244" s="188">
        <f>W244/U244</f>
        <v>1500</v>
      </c>
      <c r="W244" s="139">
        <f>SUM(W238:W243)</f>
        <v>7500</v>
      </c>
      <c r="X244" s="177" t="str">
        <f>X240</f>
        <v>ac</v>
      </c>
      <c r="Y244" s="398">
        <f>Y240</f>
        <v>5</v>
      </c>
      <c r="Z244" s="188">
        <f>AA244/Y244</f>
        <v>1500</v>
      </c>
      <c r="AA244" s="139">
        <f>SUM(AA238:AA243)</f>
        <v>7500</v>
      </c>
      <c r="AB244" s="177" t="str">
        <f>AB240</f>
        <v>ac</v>
      </c>
      <c r="AC244" s="398">
        <f>AC240</f>
        <v>5</v>
      </c>
      <c r="AD244" s="188">
        <f>AE244/AC244</f>
        <v>1500</v>
      </c>
      <c r="AE244" s="139">
        <f>SUM(AE238:AE243)</f>
        <v>7500</v>
      </c>
    </row>
    <row r="245" spans="1:31" ht="12">
      <c r="A245" s="96"/>
      <c r="B245" s="15" t="s">
        <v>199</v>
      </c>
      <c r="C245" s="15"/>
      <c r="D245" s="15"/>
      <c r="E245" s="15"/>
      <c r="F245" s="15"/>
      <c r="G245" s="15"/>
      <c r="H245" s="300">
        <f>H237+H244+H226</f>
        <v>0</v>
      </c>
      <c r="I245" s="76">
        <f>I237+I244+I226</f>
        <v>0</v>
      </c>
      <c r="J245" s="76">
        <f>J237+J244+J226</f>
        <v>0</v>
      </c>
      <c r="K245" s="302">
        <f>K237+K244+K226</f>
        <v>15780</v>
      </c>
      <c r="L245" s="124" t="s">
        <v>9</v>
      </c>
      <c r="M245" s="397">
        <f>M237</f>
        <v>5</v>
      </c>
      <c r="N245" s="95">
        <f>O245/M245</f>
        <v>3156</v>
      </c>
      <c r="O245" s="31">
        <f>O237+O244+O226</f>
        <v>15780</v>
      </c>
      <c r="P245" s="78" t="s">
        <v>9</v>
      </c>
      <c r="Q245" s="397">
        <f>Q237</f>
        <v>5</v>
      </c>
      <c r="R245" s="95">
        <f>S245/Q245</f>
        <v>3156</v>
      </c>
      <c r="S245" s="77">
        <f>S237+S244+S226</f>
        <v>15780</v>
      </c>
      <c r="T245" s="140" t="s">
        <v>9</v>
      </c>
      <c r="U245" s="398">
        <f>U237</f>
        <v>5</v>
      </c>
      <c r="V245" s="188">
        <f>W245/U245</f>
        <v>5382</v>
      </c>
      <c r="W245" s="139">
        <f>W237+W244+W226</f>
        <v>26910</v>
      </c>
      <c r="X245" s="177" t="s">
        <v>9</v>
      </c>
      <c r="Y245" s="398">
        <f>Y237</f>
        <v>5</v>
      </c>
      <c r="Z245" s="188">
        <f>AA245/Y245</f>
        <v>5382</v>
      </c>
      <c r="AA245" s="139">
        <f>AA237+AA244+AA226</f>
        <v>26910</v>
      </c>
      <c r="AB245" s="177" t="s">
        <v>9</v>
      </c>
      <c r="AC245" s="398">
        <f>AC237</f>
        <v>5</v>
      </c>
      <c r="AD245" s="188">
        <f>AE245/AC245</f>
        <v>5382</v>
      </c>
      <c r="AE245" s="139">
        <f>AE237+AE244+AE226</f>
        <v>26910</v>
      </c>
    </row>
    <row r="246" spans="1:31" ht="12">
      <c r="A246" s="85"/>
      <c r="B246" s="15"/>
      <c r="C246" s="15"/>
      <c r="D246" s="15"/>
      <c r="E246" s="15"/>
      <c r="F246" s="15"/>
      <c r="G246" s="15"/>
      <c r="H246" s="300"/>
      <c r="I246" s="76"/>
      <c r="J246" s="76"/>
      <c r="K246" s="302"/>
      <c r="L246" s="124"/>
      <c r="M246" s="397"/>
      <c r="N246" s="76"/>
      <c r="O246" s="31"/>
      <c r="P246" s="78"/>
      <c r="Q246" s="397"/>
      <c r="R246" s="76"/>
      <c r="S246" s="77"/>
      <c r="T246" s="273"/>
      <c r="U246" s="235"/>
      <c r="V246" s="235"/>
      <c r="W246" s="236"/>
      <c r="X246" s="177"/>
      <c r="Y246" s="97"/>
      <c r="Z246" s="97"/>
      <c r="AA246" s="34"/>
      <c r="AB246" s="177"/>
      <c r="AC246" s="97"/>
      <c r="AD246" s="97"/>
      <c r="AE246" s="34"/>
    </row>
    <row r="247" spans="1:31" ht="12">
      <c r="A247" s="85" t="s">
        <v>326</v>
      </c>
      <c r="B247" s="86" t="s">
        <v>200</v>
      </c>
      <c r="C247" s="86"/>
      <c r="D247" s="86"/>
      <c r="E247" s="86"/>
      <c r="F247" s="86"/>
      <c r="G247" s="86"/>
      <c r="H247" s="195"/>
      <c r="I247" s="138"/>
      <c r="J247" s="138"/>
      <c r="K247" s="309"/>
      <c r="L247" s="257"/>
      <c r="M247" s="398"/>
      <c r="N247" s="138"/>
      <c r="O247" s="43"/>
      <c r="P247" s="107"/>
      <c r="Q247" s="398"/>
      <c r="R247" s="138"/>
      <c r="S247" s="139"/>
      <c r="T247" s="273"/>
      <c r="U247" s="235"/>
      <c r="V247" s="238"/>
      <c r="W247" s="236"/>
      <c r="X247" s="177"/>
      <c r="Y247" s="97"/>
      <c r="Z247" s="88"/>
      <c r="AA247" s="34"/>
      <c r="AB247" s="177"/>
      <c r="AC247" s="97"/>
      <c r="AD247" s="88"/>
      <c r="AE247" s="34"/>
    </row>
    <row r="248" spans="1:31" ht="12">
      <c r="A248" s="85" t="s">
        <v>327</v>
      </c>
      <c r="B248" s="86"/>
      <c r="C248" s="15" t="s">
        <v>30</v>
      </c>
      <c r="D248" s="15"/>
      <c r="E248" s="86"/>
      <c r="F248" s="86"/>
      <c r="G248" s="86"/>
      <c r="H248" s="300"/>
      <c r="I248" s="76"/>
      <c r="J248" s="76"/>
      <c r="K248" s="302">
        <f>H248+I248+J248</f>
        <v>0</v>
      </c>
      <c r="L248" s="124"/>
      <c r="M248" s="397"/>
      <c r="N248" s="76"/>
      <c r="O248" s="31">
        <f>K248</f>
        <v>0</v>
      </c>
      <c r="P248" s="107"/>
      <c r="Q248" s="398"/>
      <c r="R248" s="76"/>
      <c r="S248" s="139">
        <f>O248</f>
        <v>0</v>
      </c>
      <c r="T248" s="140"/>
      <c r="U248" s="178"/>
      <c r="V248" s="138"/>
      <c r="W248" s="34">
        <f>S248</f>
        <v>0</v>
      </c>
      <c r="X248" s="177"/>
      <c r="Y248" s="178"/>
      <c r="Z248" s="138"/>
      <c r="AA248" s="34">
        <f>W248</f>
        <v>0</v>
      </c>
      <c r="AB248" s="177"/>
      <c r="AC248" s="178"/>
      <c r="AD248" s="138"/>
      <c r="AE248" s="34">
        <f>AA248</f>
        <v>0</v>
      </c>
    </row>
    <row r="249" spans="1:31" ht="12">
      <c r="A249" s="96"/>
      <c r="B249" s="15"/>
      <c r="C249" s="15" t="s">
        <v>10</v>
      </c>
      <c r="D249" s="15"/>
      <c r="E249" s="15"/>
      <c r="F249" s="15"/>
      <c r="G249" s="15"/>
      <c r="H249" s="300"/>
      <c r="I249" s="76"/>
      <c r="J249" s="76"/>
      <c r="K249" s="302"/>
      <c r="L249" s="124"/>
      <c r="M249" s="397"/>
      <c r="N249" s="76"/>
      <c r="O249" s="31"/>
      <c r="P249" s="78"/>
      <c r="Q249" s="397"/>
      <c r="R249" s="76"/>
      <c r="S249" s="77"/>
      <c r="T249" s="49"/>
      <c r="U249" s="53"/>
      <c r="V249" s="76"/>
      <c r="W249" s="77"/>
      <c r="X249" s="177"/>
      <c r="Y249" s="178"/>
      <c r="Z249" s="138"/>
      <c r="AA249" s="139"/>
      <c r="AB249" s="177"/>
      <c r="AC249" s="178"/>
      <c r="AD249" s="138"/>
      <c r="AE249" s="139"/>
    </row>
    <row r="250" spans="1:31" ht="12">
      <c r="A250" s="96" t="s">
        <v>328</v>
      </c>
      <c r="B250" s="15"/>
      <c r="C250" s="15"/>
      <c r="D250" s="15" t="s">
        <v>11</v>
      </c>
      <c r="E250" s="15"/>
      <c r="F250" s="15"/>
      <c r="G250" s="15"/>
      <c r="H250" s="300"/>
      <c r="I250" s="76"/>
      <c r="J250" s="76"/>
      <c r="K250" s="302">
        <v>7743.9</v>
      </c>
      <c r="L250" s="124" t="s">
        <v>9</v>
      </c>
      <c r="M250" s="397">
        <v>31.1</v>
      </c>
      <c r="N250" s="95">
        <f>O250/M250</f>
        <v>248.99999999999997</v>
      </c>
      <c r="O250" s="31">
        <f>K250</f>
        <v>7743.9</v>
      </c>
      <c r="P250" s="78" t="s">
        <v>9</v>
      </c>
      <c r="Q250" s="397">
        <v>31.1</v>
      </c>
      <c r="R250" s="95">
        <f>S250/Q250</f>
        <v>248.99999999999997</v>
      </c>
      <c r="S250" s="77">
        <f aca="true" t="shared" si="11" ref="S250:U251">O250</f>
        <v>7743.9</v>
      </c>
      <c r="T250" s="49" t="str">
        <f t="shared" si="11"/>
        <v>ac</v>
      </c>
      <c r="U250" s="397">
        <f t="shared" si="11"/>
        <v>31.1</v>
      </c>
      <c r="V250" s="188">
        <v>1500</v>
      </c>
      <c r="W250" s="139">
        <f>U250*V250</f>
        <v>46650</v>
      </c>
      <c r="X250" s="177" t="str">
        <f>T250</f>
        <v>ac</v>
      </c>
      <c r="Y250" s="398">
        <f>U250</f>
        <v>31.1</v>
      </c>
      <c r="Z250" s="188">
        <v>1500</v>
      </c>
      <c r="AA250" s="139">
        <f>Y250*Z250</f>
        <v>46650</v>
      </c>
      <c r="AB250" s="177" t="str">
        <f>X250</f>
        <v>ac</v>
      </c>
      <c r="AC250" s="398">
        <f>Y250</f>
        <v>31.1</v>
      </c>
      <c r="AD250" s="188">
        <v>1500</v>
      </c>
      <c r="AE250" s="139">
        <f>AC250*AD250</f>
        <v>46650</v>
      </c>
    </row>
    <row r="251" spans="1:31" ht="12">
      <c r="A251" s="96" t="s">
        <v>329</v>
      </c>
      <c r="B251" s="15"/>
      <c r="C251" s="15"/>
      <c r="D251" s="15" t="s">
        <v>12</v>
      </c>
      <c r="E251" s="15"/>
      <c r="F251" s="15"/>
      <c r="G251" s="15"/>
      <c r="H251" s="300"/>
      <c r="I251" s="76"/>
      <c r="J251" s="76"/>
      <c r="K251" s="302">
        <v>22081</v>
      </c>
      <c r="L251" s="124" t="s">
        <v>9</v>
      </c>
      <c r="M251" s="397">
        <v>31.1</v>
      </c>
      <c r="N251" s="95">
        <f>O251/M251</f>
        <v>710</v>
      </c>
      <c r="O251" s="31">
        <f>K251</f>
        <v>22081</v>
      </c>
      <c r="P251" s="78" t="s">
        <v>9</v>
      </c>
      <c r="Q251" s="397">
        <v>31.1</v>
      </c>
      <c r="R251" s="95">
        <f>S251/Q251</f>
        <v>710</v>
      </c>
      <c r="S251" s="77">
        <f t="shared" si="11"/>
        <v>22081</v>
      </c>
      <c r="T251" s="49" t="str">
        <f t="shared" si="11"/>
        <v>ac</v>
      </c>
      <c r="U251" s="397">
        <f t="shared" si="11"/>
        <v>31.1</v>
      </c>
      <c r="V251" s="138">
        <v>710</v>
      </c>
      <c r="W251" s="139">
        <f>U251*V251</f>
        <v>22081</v>
      </c>
      <c r="X251" s="177" t="str">
        <f>T251</f>
        <v>ac</v>
      </c>
      <c r="Y251" s="398">
        <f>U251</f>
        <v>31.1</v>
      </c>
      <c r="Z251" s="138">
        <v>710</v>
      </c>
      <c r="AA251" s="139">
        <f>Y251*Z251</f>
        <v>22081</v>
      </c>
      <c r="AB251" s="177" t="str">
        <f>X251</f>
        <v>ac</v>
      </c>
      <c r="AC251" s="398">
        <f>Y251</f>
        <v>31.1</v>
      </c>
      <c r="AD251" s="138">
        <v>710</v>
      </c>
      <c r="AE251" s="139">
        <f>AC251*AD251</f>
        <v>22081</v>
      </c>
    </row>
    <row r="252" spans="1:31" ht="12">
      <c r="A252" s="96" t="s">
        <v>330</v>
      </c>
      <c r="B252" s="15"/>
      <c r="C252" s="15"/>
      <c r="D252" s="15" t="s">
        <v>13</v>
      </c>
      <c r="E252" s="15"/>
      <c r="F252" s="15"/>
      <c r="G252" s="15"/>
      <c r="H252" s="303"/>
      <c r="I252" s="73"/>
      <c r="J252" s="73"/>
      <c r="K252" s="304"/>
      <c r="L252" s="124"/>
      <c r="M252" s="397"/>
      <c r="N252" s="95"/>
      <c r="O252" s="31"/>
      <c r="P252" s="78"/>
      <c r="Q252" s="397"/>
      <c r="R252" s="95"/>
      <c r="S252" s="77"/>
      <c r="T252" s="49"/>
      <c r="U252" s="53"/>
      <c r="V252" s="188"/>
      <c r="W252" s="139"/>
      <c r="X252" s="177"/>
      <c r="Y252" s="178"/>
      <c r="Z252" s="188"/>
      <c r="AA252" s="139"/>
      <c r="AB252" s="177"/>
      <c r="AC252" s="178"/>
      <c r="AD252" s="188"/>
      <c r="AE252" s="139"/>
    </row>
    <row r="253" spans="1:31" ht="12">
      <c r="A253" s="96" t="s">
        <v>331</v>
      </c>
      <c r="B253" s="15"/>
      <c r="C253" s="15"/>
      <c r="D253" s="15" t="s">
        <v>14</v>
      </c>
      <c r="E253" s="15"/>
      <c r="F253" s="15"/>
      <c r="G253" s="15"/>
      <c r="H253" s="300"/>
      <c r="I253" s="76"/>
      <c r="J253" s="76"/>
      <c r="K253" s="302">
        <v>51999.2</v>
      </c>
      <c r="L253" s="124" t="s">
        <v>9</v>
      </c>
      <c r="M253" s="397">
        <v>31.1</v>
      </c>
      <c r="N253" s="95">
        <f>O253/M253</f>
        <v>1671.9999999999998</v>
      </c>
      <c r="O253" s="31">
        <f>K253</f>
        <v>51999.2</v>
      </c>
      <c r="P253" s="78" t="s">
        <v>9</v>
      </c>
      <c r="Q253" s="397">
        <v>31.1</v>
      </c>
      <c r="R253" s="95">
        <f>S253/Q253</f>
        <v>1671.9999999999998</v>
      </c>
      <c r="S253" s="77">
        <f>O253</f>
        <v>51999.2</v>
      </c>
      <c r="T253" s="49" t="str">
        <f>P253</f>
        <v>ac</v>
      </c>
      <c r="U253" s="397">
        <f>Q253</f>
        <v>31.1</v>
      </c>
      <c r="V253" s="95">
        <v>1672</v>
      </c>
      <c r="W253" s="139">
        <f>U253*V253</f>
        <v>51999.200000000004</v>
      </c>
      <c r="X253" s="177" t="str">
        <f>T253</f>
        <v>ac</v>
      </c>
      <c r="Y253" s="398">
        <f>U253</f>
        <v>31.1</v>
      </c>
      <c r="Z253" s="188">
        <v>1672</v>
      </c>
      <c r="AA253" s="139">
        <f>Y253*Z253</f>
        <v>51999.200000000004</v>
      </c>
      <c r="AB253" s="177" t="str">
        <f>X253</f>
        <v>ac</v>
      </c>
      <c r="AC253" s="398">
        <f>Y253</f>
        <v>31.1</v>
      </c>
      <c r="AD253" s="188">
        <v>1672</v>
      </c>
      <c r="AE253" s="139">
        <f>AC253*AD253</f>
        <v>51999.200000000004</v>
      </c>
    </row>
    <row r="254" spans="1:31" ht="12">
      <c r="A254" s="96"/>
      <c r="B254" s="15"/>
      <c r="C254" s="15" t="s">
        <v>15</v>
      </c>
      <c r="D254" s="15"/>
      <c r="E254" s="15"/>
      <c r="F254" s="15"/>
      <c r="G254" s="15"/>
      <c r="H254" s="300"/>
      <c r="I254" s="76"/>
      <c r="J254" s="76"/>
      <c r="K254" s="302"/>
      <c r="L254" s="124"/>
      <c r="M254" s="397"/>
      <c r="N254" s="76"/>
      <c r="O254" s="31"/>
      <c r="P254" s="78"/>
      <c r="Q254" s="397"/>
      <c r="R254" s="76"/>
      <c r="S254" s="77"/>
      <c r="T254" s="49"/>
      <c r="U254" s="53"/>
      <c r="V254" s="75"/>
      <c r="W254" s="448"/>
      <c r="X254" s="177"/>
      <c r="Y254" s="178"/>
      <c r="Z254" s="141"/>
      <c r="AA254" s="34"/>
      <c r="AB254" s="177"/>
      <c r="AC254" s="178"/>
      <c r="AD254" s="141"/>
      <c r="AE254" s="34"/>
    </row>
    <row r="255" spans="1:31" ht="12">
      <c r="A255" s="96" t="s">
        <v>332</v>
      </c>
      <c r="B255" s="15"/>
      <c r="C255" s="15"/>
      <c r="D255" s="15" t="s">
        <v>11</v>
      </c>
      <c r="E255" s="15"/>
      <c r="F255" s="15"/>
      <c r="G255" s="15"/>
      <c r="H255" s="300"/>
      <c r="I255" s="76"/>
      <c r="J255" s="76"/>
      <c r="K255" s="302"/>
      <c r="L255" s="124"/>
      <c r="M255" s="397"/>
      <c r="N255" s="76"/>
      <c r="O255" s="31"/>
      <c r="P255" s="78"/>
      <c r="Q255" s="397"/>
      <c r="R255" s="76"/>
      <c r="S255" s="77"/>
      <c r="T255" s="49"/>
      <c r="U255" s="53"/>
      <c r="V255" s="75"/>
      <c r="W255" s="448"/>
      <c r="X255" s="177"/>
      <c r="Y255" s="178"/>
      <c r="Z255" s="141"/>
      <c r="AA255" s="34"/>
      <c r="AB255" s="177"/>
      <c r="AC255" s="178"/>
      <c r="AD255" s="141"/>
      <c r="AE255" s="34"/>
    </row>
    <row r="256" spans="1:31" ht="12">
      <c r="A256" s="96" t="s">
        <v>333</v>
      </c>
      <c r="B256" s="15"/>
      <c r="C256" s="15"/>
      <c r="D256" s="15" t="s">
        <v>12</v>
      </c>
      <c r="E256" s="15"/>
      <c r="F256" s="15"/>
      <c r="G256" s="15"/>
      <c r="H256" s="300"/>
      <c r="I256" s="76"/>
      <c r="J256" s="76"/>
      <c r="K256" s="302"/>
      <c r="L256" s="124"/>
      <c r="M256" s="397"/>
      <c r="N256" s="76"/>
      <c r="O256" s="31"/>
      <c r="P256" s="78"/>
      <c r="Q256" s="397"/>
      <c r="R256" s="76"/>
      <c r="S256" s="77"/>
      <c r="T256" s="49"/>
      <c r="U256" s="53"/>
      <c r="V256" s="84"/>
      <c r="W256" s="448"/>
      <c r="X256" s="177"/>
      <c r="Y256" s="178"/>
      <c r="Z256" s="88"/>
      <c r="AA256" s="34"/>
      <c r="AB256" s="177"/>
      <c r="AC256" s="178"/>
      <c r="AD256" s="88"/>
      <c r="AE256" s="34"/>
    </row>
    <row r="257" spans="1:31" ht="12">
      <c r="A257" s="96" t="s">
        <v>334</v>
      </c>
      <c r="B257" s="15"/>
      <c r="C257" s="15"/>
      <c r="D257" s="15" t="s">
        <v>13</v>
      </c>
      <c r="E257" s="15"/>
      <c r="F257" s="15"/>
      <c r="G257" s="15"/>
      <c r="H257" s="300"/>
      <c r="I257" s="76"/>
      <c r="J257" s="76"/>
      <c r="K257" s="302"/>
      <c r="L257" s="124"/>
      <c r="M257" s="397"/>
      <c r="N257" s="76"/>
      <c r="O257" s="31"/>
      <c r="P257" s="78"/>
      <c r="Q257" s="397"/>
      <c r="R257" s="76"/>
      <c r="S257" s="77"/>
      <c r="T257" s="49"/>
      <c r="U257" s="53"/>
      <c r="V257" s="75"/>
      <c r="W257" s="448"/>
      <c r="X257" s="177"/>
      <c r="Y257" s="178"/>
      <c r="Z257" s="141"/>
      <c r="AA257" s="34"/>
      <c r="AB257" s="177"/>
      <c r="AC257" s="178"/>
      <c r="AD257" s="141"/>
      <c r="AE257" s="34"/>
    </row>
    <row r="258" spans="1:31" ht="12">
      <c r="A258" s="96" t="s">
        <v>335</v>
      </c>
      <c r="B258" s="15"/>
      <c r="C258" s="15"/>
      <c r="D258" s="15" t="s">
        <v>14</v>
      </c>
      <c r="E258" s="15"/>
      <c r="F258" s="15"/>
      <c r="G258" s="15"/>
      <c r="H258" s="300"/>
      <c r="I258" s="76"/>
      <c r="J258" s="76"/>
      <c r="K258" s="302"/>
      <c r="L258" s="124"/>
      <c r="M258" s="397"/>
      <c r="N258" s="76"/>
      <c r="O258" s="31"/>
      <c r="P258" s="78"/>
      <c r="Q258" s="397"/>
      <c r="R258" s="76"/>
      <c r="S258" s="77"/>
      <c r="T258" s="49"/>
      <c r="U258" s="53"/>
      <c r="V258" s="75"/>
      <c r="W258" s="448"/>
      <c r="X258" s="177"/>
      <c r="Y258" s="178"/>
      <c r="Z258" s="141"/>
      <c r="AA258" s="34"/>
      <c r="AB258" s="177"/>
      <c r="AC258" s="178"/>
      <c r="AD258" s="141"/>
      <c r="AE258" s="34"/>
    </row>
    <row r="259" spans="1:31" ht="12">
      <c r="A259" s="96"/>
      <c r="B259" s="15"/>
      <c r="C259" s="15" t="s">
        <v>16</v>
      </c>
      <c r="D259" s="15"/>
      <c r="E259" s="15"/>
      <c r="F259" s="15"/>
      <c r="G259" s="15"/>
      <c r="H259" s="300">
        <f>SUM(H249:H258)</f>
        <v>0</v>
      </c>
      <c r="I259" s="76">
        <f>SUM(I249:I258)</f>
        <v>0</v>
      </c>
      <c r="J259" s="76">
        <f>SUM(J249:J258)</f>
        <v>0</v>
      </c>
      <c r="K259" s="302">
        <f>SUM(K250:K258)</f>
        <v>81824.1</v>
      </c>
      <c r="L259" s="124" t="str">
        <f>L250</f>
        <v>ac</v>
      </c>
      <c r="M259" s="397">
        <f>M250</f>
        <v>31.1</v>
      </c>
      <c r="N259" s="95">
        <f>O259/M259</f>
        <v>2631</v>
      </c>
      <c r="O259" s="31">
        <f>SUM(O249:O258)</f>
        <v>81824.1</v>
      </c>
      <c r="P259" s="78" t="str">
        <f>P250</f>
        <v>ac</v>
      </c>
      <c r="Q259" s="397">
        <f>Q250</f>
        <v>31.1</v>
      </c>
      <c r="R259" s="95">
        <f>S259/Q259</f>
        <v>2631</v>
      </c>
      <c r="S259" s="77">
        <f>SUM(S249:S258)</f>
        <v>81824.1</v>
      </c>
      <c r="T259" s="49" t="str">
        <f>T250</f>
        <v>ac</v>
      </c>
      <c r="U259" s="397">
        <f>U250</f>
        <v>31.1</v>
      </c>
      <c r="V259" s="95">
        <f>W259/U259</f>
        <v>3882</v>
      </c>
      <c r="W259" s="77">
        <f>SUM(W249:W258)</f>
        <v>120730.20000000001</v>
      </c>
      <c r="X259" s="177" t="str">
        <f>X250</f>
        <v>ac</v>
      </c>
      <c r="Y259" s="398">
        <f>Y250</f>
        <v>31.1</v>
      </c>
      <c r="Z259" s="188">
        <f>AA259/Y259</f>
        <v>3882</v>
      </c>
      <c r="AA259" s="139">
        <f>SUM(AA249:AA258)</f>
        <v>120730.20000000001</v>
      </c>
      <c r="AB259" s="177" t="str">
        <f>AB250</f>
        <v>ac</v>
      </c>
      <c r="AC259" s="398">
        <f>AC250</f>
        <v>31.1</v>
      </c>
      <c r="AD259" s="188">
        <f>AE259/AC259</f>
        <v>3882</v>
      </c>
      <c r="AE259" s="139">
        <f>SUM(AE249:AE258)</f>
        <v>120730.20000000001</v>
      </c>
    </row>
    <row r="260" spans="1:31" ht="12">
      <c r="A260" s="96"/>
      <c r="B260" s="15"/>
      <c r="C260" s="15" t="s">
        <v>10</v>
      </c>
      <c r="D260" s="15"/>
      <c r="E260" s="15"/>
      <c r="F260" s="15"/>
      <c r="G260" s="15"/>
      <c r="H260" s="300"/>
      <c r="I260" s="76"/>
      <c r="J260" s="76"/>
      <c r="K260" s="302"/>
      <c r="L260" s="124"/>
      <c r="M260" s="397"/>
      <c r="N260" s="76"/>
      <c r="O260" s="31"/>
      <c r="P260" s="78"/>
      <c r="Q260" s="397"/>
      <c r="R260" s="76"/>
      <c r="S260" s="77"/>
      <c r="T260" s="140"/>
      <c r="U260" s="178"/>
      <c r="V260" s="141"/>
      <c r="W260" s="34"/>
      <c r="X260" s="177"/>
      <c r="Y260" s="178"/>
      <c r="Z260" s="141"/>
      <c r="AA260" s="34"/>
      <c r="AB260" s="177"/>
      <c r="AC260" s="178"/>
      <c r="AD260" s="141"/>
      <c r="AE260" s="34"/>
    </row>
    <row r="261" spans="1:31" ht="12">
      <c r="A261" s="96" t="s">
        <v>336</v>
      </c>
      <c r="B261" s="15"/>
      <c r="C261" s="15"/>
      <c r="D261" s="15" t="s">
        <v>17</v>
      </c>
      <c r="E261" s="15"/>
      <c r="F261" s="15"/>
      <c r="G261" s="15"/>
      <c r="H261" s="300"/>
      <c r="I261" s="76"/>
      <c r="J261" s="76"/>
      <c r="K261" s="302"/>
      <c r="L261" s="124"/>
      <c r="M261" s="53"/>
      <c r="N261" s="76"/>
      <c r="O261" s="31"/>
      <c r="P261" s="78"/>
      <c r="Q261" s="53"/>
      <c r="R261" s="76"/>
      <c r="S261" s="77"/>
      <c r="T261" s="140"/>
      <c r="U261" s="178"/>
      <c r="V261" s="88"/>
      <c r="W261" s="34"/>
      <c r="X261" s="177"/>
      <c r="Y261" s="178"/>
      <c r="Z261" s="88"/>
      <c r="AA261" s="34"/>
      <c r="AB261" s="177"/>
      <c r="AC261" s="178"/>
      <c r="AD261" s="88"/>
      <c r="AE261" s="34"/>
    </row>
    <row r="262" spans="1:31" ht="12">
      <c r="A262" s="96" t="s">
        <v>337</v>
      </c>
      <c r="B262" s="15"/>
      <c r="C262" s="15"/>
      <c r="D262" s="15" t="s">
        <v>18</v>
      </c>
      <c r="E262" s="15"/>
      <c r="F262" s="15"/>
      <c r="G262" s="15"/>
      <c r="H262" s="300"/>
      <c r="I262" s="76"/>
      <c r="J262" s="76"/>
      <c r="K262" s="302">
        <v>16327.5</v>
      </c>
      <c r="L262" s="124" t="s">
        <v>9</v>
      </c>
      <c r="M262" s="397">
        <v>31.1</v>
      </c>
      <c r="N262" s="95">
        <f>O262/M262</f>
        <v>525</v>
      </c>
      <c r="O262" s="31">
        <f>K262</f>
        <v>16327.5</v>
      </c>
      <c r="P262" s="78" t="s">
        <v>9</v>
      </c>
      <c r="Q262" s="397">
        <v>31.1</v>
      </c>
      <c r="R262" s="95">
        <f>S262/Q262</f>
        <v>525</v>
      </c>
      <c r="S262" s="77">
        <f>O262</f>
        <v>16327.5</v>
      </c>
      <c r="T262" s="140" t="str">
        <f>P262</f>
        <v>ac</v>
      </c>
      <c r="U262" s="398">
        <f>Q262</f>
        <v>31.1</v>
      </c>
      <c r="V262" s="188">
        <v>1500</v>
      </c>
      <c r="W262" s="139">
        <f>U262*V262</f>
        <v>46650</v>
      </c>
      <c r="X262" s="177" t="str">
        <f>T262</f>
        <v>ac</v>
      </c>
      <c r="Y262" s="398">
        <f>U262</f>
        <v>31.1</v>
      </c>
      <c r="Z262" s="188">
        <v>1500</v>
      </c>
      <c r="AA262" s="139">
        <f>Y262*Z262</f>
        <v>46650</v>
      </c>
      <c r="AB262" s="177" t="str">
        <f>X262</f>
        <v>ac</v>
      </c>
      <c r="AC262" s="398">
        <f>Y262</f>
        <v>31.1</v>
      </c>
      <c r="AD262" s="188">
        <v>1500</v>
      </c>
      <c r="AE262" s="139">
        <f>AC262*AD262</f>
        <v>46650</v>
      </c>
    </row>
    <row r="263" spans="1:31" ht="12">
      <c r="A263" s="96"/>
      <c r="B263" s="15"/>
      <c r="C263" s="15" t="s">
        <v>15</v>
      </c>
      <c r="D263" s="15"/>
      <c r="E263" s="15"/>
      <c r="F263" s="15"/>
      <c r="G263" s="15"/>
      <c r="H263" s="300"/>
      <c r="I263" s="76"/>
      <c r="J263" s="76"/>
      <c r="K263" s="302"/>
      <c r="L263" s="124"/>
      <c r="M263" s="397"/>
      <c r="N263" s="76"/>
      <c r="O263" s="31"/>
      <c r="P263" s="78"/>
      <c r="Q263" s="397"/>
      <c r="R263" s="76"/>
      <c r="S263" s="77"/>
      <c r="T263" s="140"/>
      <c r="U263" s="178"/>
      <c r="V263" s="88"/>
      <c r="W263" s="34"/>
      <c r="X263" s="177"/>
      <c r="Y263" s="178"/>
      <c r="Z263" s="88"/>
      <c r="AA263" s="34"/>
      <c r="AB263" s="177"/>
      <c r="AC263" s="178"/>
      <c r="AD263" s="88"/>
      <c r="AE263" s="34"/>
    </row>
    <row r="264" spans="1:31" ht="12">
      <c r="A264" s="96" t="s">
        <v>338</v>
      </c>
      <c r="B264" s="15"/>
      <c r="C264" s="15"/>
      <c r="D264" s="15" t="s">
        <v>17</v>
      </c>
      <c r="E264" s="15"/>
      <c r="F264" s="15"/>
      <c r="G264" s="15"/>
      <c r="H264" s="300"/>
      <c r="I264" s="76"/>
      <c r="J264" s="76"/>
      <c r="K264" s="302"/>
      <c r="L264" s="124"/>
      <c r="M264" s="397"/>
      <c r="N264" s="76"/>
      <c r="O264" s="31"/>
      <c r="P264" s="78"/>
      <c r="Q264" s="397"/>
      <c r="R264" s="76"/>
      <c r="S264" s="77"/>
      <c r="T264" s="140"/>
      <c r="U264" s="178"/>
      <c r="V264" s="88"/>
      <c r="W264" s="34"/>
      <c r="X264" s="177"/>
      <c r="Y264" s="178"/>
      <c r="Z264" s="88"/>
      <c r="AA264" s="34"/>
      <c r="AB264" s="177"/>
      <c r="AC264" s="178"/>
      <c r="AD264" s="88"/>
      <c r="AE264" s="34"/>
    </row>
    <row r="265" spans="1:31" ht="12">
      <c r="A265" s="96" t="s">
        <v>339</v>
      </c>
      <c r="B265" s="15"/>
      <c r="C265" s="15"/>
      <c r="D265" s="15" t="s">
        <v>19</v>
      </c>
      <c r="E265" s="15"/>
      <c r="F265" s="15"/>
      <c r="G265" s="15"/>
      <c r="H265" s="303"/>
      <c r="I265" s="76"/>
      <c r="J265" s="76"/>
      <c r="K265" s="302"/>
      <c r="L265" s="124"/>
      <c r="M265" s="397"/>
      <c r="N265" s="76"/>
      <c r="O265" s="31"/>
      <c r="P265" s="78"/>
      <c r="Q265" s="397"/>
      <c r="R265" s="76"/>
      <c r="S265" s="77"/>
      <c r="T265" s="140"/>
      <c r="U265" s="178"/>
      <c r="V265" s="88"/>
      <c r="W265" s="34"/>
      <c r="X265" s="177"/>
      <c r="Y265" s="178"/>
      <c r="Z265" s="88"/>
      <c r="AA265" s="34"/>
      <c r="AB265" s="177"/>
      <c r="AC265" s="178"/>
      <c r="AD265" s="88"/>
      <c r="AE265" s="34"/>
    </row>
    <row r="266" spans="1:31" ht="12">
      <c r="A266" s="96"/>
      <c r="B266" s="15"/>
      <c r="C266" s="15" t="s">
        <v>20</v>
      </c>
      <c r="D266" s="15"/>
      <c r="E266" s="15"/>
      <c r="F266" s="15"/>
      <c r="G266" s="15"/>
      <c r="H266" s="300">
        <f>SUM(H260:H265)</f>
        <v>0</v>
      </c>
      <c r="I266" s="76">
        <f>SUM(I260:I265)</f>
        <v>0</v>
      </c>
      <c r="J266" s="76">
        <f>SUM(J260:J265)</f>
        <v>0</v>
      </c>
      <c r="K266" s="302">
        <f>SUM(K261:K265)</f>
        <v>16327.5</v>
      </c>
      <c r="L266" s="124" t="str">
        <f>L262</f>
        <v>ac</v>
      </c>
      <c r="M266" s="397">
        <f>M262</f>
        <v>31.1</v>
      </c>
      <c r="N266" s="95">
        <f>O266/M266</f>
        <v>525</v>
      </c>
      <c r="O266" s="31">
        <f>SUM(O260:O265)</f>
        <v>16327.5</v>
      </c>
      <c r="P266" s="78" t="str">
        <f>P262</f>
        <v>ac</v>
      </c>
      <c r="Q266" s="397">
        <f>Q262</f>
        <v>31.1</v>
      </c>
      <c r="R266" s="95">
        <f>S266/Q266</f>
        <v>525</v>
      </c>
      <c r="S266" s="77">
        <f>SUM(S260:S265)</f>
        <v>16327.5</v>
      </c>
      <c r="T266" s="140" t="str">
        <f>T262</f>
        <v>ac</v>
      </c>
      <c r="U266" s="398">
        <f>U262</f>
        <v>31.1</v>
      </c>
      <c r="V266" s="188">
        <f>W266/U266</f>
        <v>1500</v>
      </c>
      <c r="W266" s="139">
        <f>SUM(W260:W265)</f>
        <v>46650</v>
      </c>
      <c r="X266" s="177" t="str">
        <f>X262</f>
        <v>ac</v>
      </c>
      <c r="Y266" s="398">
        <f>Y262</f>
        <v>31.1</v>
      </c>
      <c r="Z266" s="188">
        <f>AA266/Y266</f>
        <v>1500</v>
      </c>
      <c r="AA266" s="139">
        <f>SUM(AA260:AA265)</f>
        <v>46650</v>
      </c>
      <c r="AB266" s="177" t="str">
        <f>AB262</f>
        <v>ac</v>
      </c>
      <c r="AC266" s="398">
        <f>AC262</f>
        <v>31.1</v>
      </c>
      <c r="AD266" s="188">
        <f>AE266/AC266</f>
        <v>1500</v>
      </c>
      <c r="AE266" s="139">
        <f>SUM(AE260:AE265)</f>
        <v>46650</v>
      </c>
    </row>
    <row r="267" spans="1:31" ht="12">
      <c r="A267" s="96"/>
      <c r="B267" s="86" t="s">
        <v>201</v>
      </c>
      <c r="C267" s="15"/>
      <c r="D267" s="15"/>
      <c r="E267" s="15"/>
      <c r="F267" s="15"/>
      <c r="G267" s="15"/>
      <c r="H267" s="300">
        <f>H259+H266+H248</f>
        <v>0</v>
      </c>
      <c r="I267" s="76">
        <f>I259+I266+I248</f>
        <v>0</v>
      </c>
      <c r="J267" s="76">
        <f>J259+J266+J248</f>
        <v>0</v>
      </c>
      <c r="K267" s="302">
        <f>K259+K266+K248</f>
        <v>98151.6</v>
      </c>
      <c r="L267" s="124" t="s">
        <v>9</v>
      </c>
      <c r="M267" s="397">
        <f>M259</f>
        <v>31.1</v>
      </c>
      <c r="N267" s="95">
        <f>O267/M267</f>
        <v>3156</v>
      </c>
      <c r="O267" s="31">
        <f>O259+O266+O248</f>
        <v>98151.6</v>
      </c>
      <c r="P267" s="78" t="s">
        <v>9</v>
      </c>
      <c r="Q267" s="397">
        <f>Q259</f>
        <v>31.1</v>
      </c>
      <c r="R267" s="95">
        <f>S267/Q267</f>
        <v>3156</v>
      </c>
      <c r="S267" s="77">
        <f>S259+S266+S248</f>
        <v>98151.6</v>
      </c>
      <c r="T267" s="140" t="s">
        <v>9</v>
      </c>
      <c r="U267" s="398">
        <f>U259</f>
        <v>31.1</v>
      </c>
      <c r="V267" s="188">
        <f>W267/U267</f>
        <v>5382</v>
      </c>
      <c r="W267" s="139">
        <f>W259+W266+W248</f>
        <v>167380.2</v>
      </c>
      <c r="X267" s="177" t="s">
        <v>9</v>
      </c>
      <c r="Y267" s="398">
        <f>Y259</f>
        <v>31.1</v>
      </c>
      <c r="Z267" s="188">
        <f>AA267/Y267</f>
        <v>5382</v>
      </c>
      <c r="AA267" s="139">
        <f>AA259+AA266+AA248</f>
        <v>167380.2</v>
      </c>
      <c r="AB267" s="177" t="s">
        <v>9</v>
      </c>
      <c r="AC267" s="398">
        <f>AC259</f>
        <v>31.1</v>
      </c>
      <c r="AD267" s="188">
        <f>AE267/AC267</f>
        <v>5382</v>
      </c>
      <c r="AE267" s="139">
        <f>AE259+AE266+AE248</f>
        <v>167380.2</v>
      </c>
    </row>
    <row r="268" spans="1:31" ht="12">
      <c r="A268" s="85"/>
      <c r="B268" s="15"/>
      <c r="C268" s="15"/>
      <c r="D268" s="15"/>
      <c r="E268" s="15"/>
      <c r="F268" s="15"/>
      <c r="G268" s="15"/>
      <c r="H268" s="300"/>
      <c r="I268" s="76"/>
      <c r="J268" s="76"/>
      <c r="K268" s="302"/>
      <c r="L268" s="124"/>
      <c r="M268" s="397"/>
      <c r="N268" s="76"/>
      <c r="O268" s="31"/>
      <c r="P268" s="78"/>
      <c r="Q268" s="397"/>
      <c r="R268" s="76"/>
      <c r="S268" s="77"/>
      <c r="T268" s="273"/>
      <c r="U268" s="235"/>
      <c r="V268" s="235"/>
      <c r="W268" s="236"/>
      <c r="X268" s="231"/>
      <c r="Y268" s="235"/>
      <c r="Z268" s="235"/>
      <c r="AA268" s="236"/>
      <c r="AB268" s="231"/>
      <c r="AC268" s="235"/>
      <c r="AD268" s="235"/>
      <c r="AE268" s="236"/>
    </row>
    <row r="269" spans="1:31" ht="12">
      <c r="A269" s="85" t="s">
        <v>340</v>
      </c>
      <c r="B269" s="86" t="s">
        <v>204</v>
      </c>
      <c r="C269" s="86"/>
      <c r="D269" s="86"/>
      <c r="E269" s="86"/>
      <c r="F269" s="86"/>
      <c r="G269" s="86"/>
      <c r="H269" s="195"/>
      <c r="I269" s="138"/>
      <c r="J269" s="138"/>
      <c r="K269" s="309"/>
      <c r="L269" s="257"/>
      <c r="M269" s="398"/>
      <c r="N269" s="138"/>
      <c r="O269" s="43"/>
      <c r="P269" s="107"/>
      <c r="Q269" s="398"/>
      <c r="R269" s="138"/>
      <c r="S269" s="139"/>
      <c r="T269" s="273"/>
      <c r="U269" s="235"/>
      <c r="V269" s="238"/>
      <c r="W269" s="236"/>
      <c r="X269" s="231"/>
      <c r="Y269" s="235"/>
      <c r="Z269" s="238"/>
      <c r="AA269" s="236"/>
      <c r="AB269" s="231"/>
      <c r="AC269" s="235"/>
      <c r="AD269" s="238"/>
      <c r="AE269" s="236"/>
    </row>
    <row r="270" spans="1:31" ht="12">
      <c r="A270" s="85" t="s">
        <v>341</v>
      </c>
      <c r="B270" s="86"/>
      <c r="C270" s="15" t="s">
        <v>30</v>
      </c>
      <c r="D270" s="15"/>
      <c r="E270" s="86"/>
      <c r="F270" s="86"/>
      <c r="G270" s="86"/>
      <c r="H270" s="300">
        <v>40000</v>
      </c>
      <c r="I270" s="76">
        <v>60000</v>
      </c>
      <c r="J270" s="76"/>
      <c r="K270" s="302">
        <f>H270+I270+J270</f>
        <v>100000</v>
      </c>
      <c r="L270" s="124" t="s">
        <v>139</v>
      </c>
      <c r="M270" s="53">
        <v>1</v>
      </c>
      <c r="N270" s="76"/>
      <c r="O270" s="31">
        <f>K270</f>
        <v>100000</v>
      </c>
      <c r="P270" s="107" t="s">
        <v>139</v>
      </c>
      <c r="Q270" s="178">
        <v>1</v>
      </c>
      <c r="R270" s="76"/>
      <c r="S270" s="77">
        <f>O270</f>
        <v>100000</v>
      </c>
      <c r="T270" s="140" t="str">
        <f>P270</f>
        <v>lot</v>
      </c>
      <c r="U270" s="178">
        <f>Q270</f>
        <v>1</v>
      </c>
      <c r="V270" s="138"/>
      <c r="W270" s="34">
        <f>S270</f>
        <v>100000</v>
      </c>
      <c r="X270" s="177" t="str">
        <f>T270</f>
        <v>lot</v>
      </c>
      <c r="Y270" s="178">
        <f>U270</f>
        <v>1</v>
      </c>
      <c r="Z270" s="138"/>
      <c r="AA270" s="34">
        <f>W270</f>
        <v>100000</v>
      </c>
      <c r="AB270" s="177" t="str">
        <f>X270</f>
        <v>lot</v>
      </c>
      <c r="AC270" s="178">
        <f>Y270</f>
        <v>1</v>
      </c>
      <c r="AD270" s="138"/>
      <c r="AE270" s="34">
        <f>AA270</f>
        <v>100000</v>
      </c>
    </row>
    <row r="271" spans="1:31" ht="12">
      <c r="A271" s="96"/>
      <c r="B271" s="15"/>
      <c r="C271" s="15" t="s">
        <v>10</v>
      </c>
      <c r="D271" s="15"/>
      <c r="E271" s="15"/>
      <c r="F271" s="15"/>
      <c r="G271" s="15"/>
      <c r="H271" s="300"/>
      <c r="I271" s="76"/>
      <c r="J271" s="76"/>
      <c r="K271" s="302"/>
      <c r="L271" s="124"/>
      <c r="M271" s="397"/>
      <c r="N271" s="76"/>
      <c r="O271" s="31"/>
      <c r="P271" s="78"/>
      <c r="Q271" s="397"/>
      <c r="R271" s="76"/>
      <c r="S271" s="77"/>
      <c r="T271" s="49"/>
      <c r="U271" s="53"/>
      <c r="V271" s="76"/>
      <c r="W271" s="77"/>
      <c r="X271" s="177"/>
      <c r="Y271" s="178"/>
      <c r="Z271" s="138"/>
      <c r="AA271" s="139"/>
      <c r="AB271" s="177"/>
      <c r="AC271" s="178"/>
      <c r="AD271" s="138"/>
      <c r="AE271" s="139"/>
    </row>
    <row r="272" spans="1:31" ht="12">
      <c r="A272" s="96" t="s">
        <v>342</v>
      </c>
      <c r="B272" s="15"/>
      <c r="C272" s="15"/>
      <c r="D272" s="15" t="s">
        <v>11</v>
      </c>
      <c r="E272" s="15"/>
      <c r="F272" s="15"/>
      <c r="G272" s="15"/>
      <c r="H272" s="300"/>
      <c r="I272" s="76"/>
      <c r="J272" s="76"/>
      <c r="K272" s="302"/>
      <c r="L272" s="124"/>
      <c r="M272" s="397"/>
      <c r="N272" s="95"/>
      <c r="O272" s="31"/>
      <c r="P272" s="78"/>
      <c r="Q272" s="397"/>
      <c r="R272" s="95"/>
      <c r="S272" s="77"/>
      <c r="T272" s="49"/>
      <c r="U272" s="397"/>
      <c r="V272" s="188"/>
      <c r="W272" s="139"/>
      <c r="X272" s="177"/>
      <c r="Y272" s="398"/>
      <c r="Z272" s="188"/>
      <c r="AA272" s="139"/>
      <c r="AB272" s="177"/>
      <c r="AC272" s="398"/>
      <c r="AD272" s="188"/>
      <c r="AE272" s="139"/>
    </row>
    <row r="273" spans="1:31" ht="12">
      <c r="A273" s="96" t="s">
        <v>343</v>
      </c>
      <c r="B273" s="15"/>
      <c r="C273" s="15"/>
      <c r="D273" s="15" t="s">
        <v>12</v>
      </c>
      <c r="E273" s="15"/>
      <c r="F273" s="15"/>
      <c r="G273" s="15"/>
      <c r="H273" s="300"/>
      <c r="I273" s="76"/>
      <c r="J273" s="76"/>
      <c r="K273" s="302"/>
      <c r="L273" s="124"/>
      <c r="M273" s="397"/>
      <c r="N273" s="95"/>
      <c r="O273" s="31"/>
      <c r="P273" s="78"/>
      <c r="Q273" s="397"/>
      <c r="R273" s="95"/>
      <c r="S273" s="77"/>
      <c r="T273" s="49"/>
      <c r="U273" s="397"/>
      <c r="V273" s="138"/>
      <c r="W273" s="139"/>
      <c r="X273" s="177"/>
      <c r="Y273" s="398"/>
      <c r="Z273" s="138"/>
      <c r="AA273" s="139"/>
      <c r="AB273" s="177"/>
      <c r="AC273" s="398"/>
      <c r="AD273" s="138"/>
      <c r="AE273" s="139"/>
    </row>
    <row r="274" spans="1:31" ht="12">
      <c r="A274" s="96" t="s">
        <v>344</v>
      </c>
      <c r="B274" s="15"/>
      <c r="C274" s="15"/>
      <c r="D274" s="15" t="s">
        <v>13</v>
      </c>
      <c r="E274" s="15"/>
      <c r="F274" s="15"/>
      <c r="G274" s="15"/>
      <c r="H274" s="303"/>
      <c r="I274" s="73"/>
      <c r="J274" s="73"/>
      <c r="K274" s="304"/>
      <c r="L274" s="124"/>
      <c r="M274" s="397"/>
      <c r="N274" s="95"/>
      <c r="O274" s="31"/>
      <c r="P274" s="78"/>
      <c r="Q274" s="397"/>
      <c r="R274" s="95"/>
      <c r="S274" s="77"/>
      <c r="T274" s="49"/>
      <c r="U274" s="53"/>
      <c r="V274" s="188"/>
      <c r="W274" s="139"/>
      <c r="X274" s="177"/>
      <c r="Y274" s="178"/>
      <c r="Z274" s="188"/>
      <c r="AA274" s="139"/>
      <c r="AB274" s="177"/>
      <c r="AC274" s="178"/>
      <c r="AD274" s="188"/>
      <c r="AE274" s="139"/>
    </row>
    <row r="275" spans="1:31" ht="12">
      <c r="A275" s="96" t="s">
        <v>345</v>
      </c>
      <c r="B275" s="15"/>
      <c r="C275" s="15"/>
      <c r="D275" s="15" t="s">
        <v>14</v>
      </c>
      <c r="E275" s="15"/>
      <c r="F275" s="15"/>
      <c r="G275" s="15"/>
      <c r="H275" s="300"/>
      <c r="I275" s="76"/>
      <c r="J275" s="76"/>
      <c r="K275" s="302"/>
      <c r="L275" s="124"/>
      <c r="M275" s="397"/>
      <c r="N275" s="95"/>
      <c r="O275" s="31"/>
      <c r="P275" s="78"/>
      <c r="Q275" s="397"/>
      <c r="R275" s="95"/>
      <c r="S275" s="77"/>
      <c r="T275" s="49"/>
      <c r="U275" s="397"/>
      <c r="V275" s="95"/>
      <c r="W275" s="139"/>
      <c r="X275" s="177"/>
      <c r="Y275" s="398"/>
      <c r="Z275" s="188"/>
      <c r="AA275" s="139"/>
      <c r="AB275" s="177"/>
      <c r="AC275" s="398"/>
      <c r="AD275" s="188"/>
      <c r="AE275" s="139"/>
    </row>
    <row r="276" spans="1:31" ht="12">
      <c r="A276" s="96"/>
      <c r="B276" s="15"/>
      <c r="C276" s="15" t="s">
        <v>15</v>
      </c>
      <c r="D276" s="15"/>
      <c r="E276" s="15"/>
      <c r="F276" s="15"/>
      <c r="G276" s="15"/>
      <c r="H276" s="300"/>
      <c r="I276" s="76"/>
      <c r="J276" s="76"/>
      <c r="K276" s="302"/>
      <c r="L276" s="124"/>
      <c r="M276" s="397"/>
      <c r="N276" s="76"/>
      <c r="O276" s="31"/>
      <c r="P276" s="78"/>
      <c r="Q276" s="397"/>
      <c r="R276" s="76"/>
      <c r="S276" s="77"/>
      <c r="T276" s="49"/>
      <c r="U276" s="53"/>
      <c r="V276" s="75"/>
      <c r="W276" s="448"/>
      <c r="X276" s="177"/>
      <c r="Y276" s="178"/>
      <c r="Z276" s="141"/>
      <c r="AA276" s="34"/>
      <c r="AB276" s="177"/>
      <c r="AC276" s="178"/>
      <c r="AD276" s="141"/>
      <c r="AE276" s="34"/>
    </row>
    <row r="277" spans="1:31" ht="12">
      <c r="A277" s="96" t="s">
        <v>346</v>
      </c>
      <c r="B277" s="15"/>
      <c r="C277" s="15"/>
      <c r="D277" s="15" t="s">
        <v>11</v>
      </c>
      <c r="E277" s="15"/>
      <c r="F277" s="15"/>
      <c r="G277" s="15"/>
      <c r="H277" s="300"/>
      <c r="I277" s="76"/>
      <c r="J277" s="76"/>
      <c r="K277" s="302"/>
      <c r="L277" s="124"/>
      <c r="M277" s="397"/>
      <c r="N277" s="76"/>
      <c r="O277" s="31"/>
      <c r="P277" s="78"/>
      <c r="Q277" s="397"/>
      <c r="R277" s="76"/>
      <c r="S277" s="77"/>
      <c r="T277" s="49"/>
      <c r="U277" s="53"/>
      <c r="V277" s="75"/>
      <c r="W277" s="448"/>
      <c r="X277" s="177"/>
      <c r="Y277" s="178"/>
      <c r="Z277" s="141"/>
      <c r="AA277" s="34"/>
      <c r="AB277" s="177"/>
      <c r="AC277" s="178"/>
      <c r="AD277" s="141"/>
      <c r="AE277" s="34"/>
    </row>
    <row r="278" spans="1:31" ht="12">
      <c r="A278" s="96" t="s">
        <v>347</v>
      </c>
      <c r="B278" s="15"/>
      <c r="C278" s="15"/>
      <c r="D278" s="15" t="s">
        <v>12</v>
      </c>
      <c r="E278" s="15"/>
      <c r="F278" s="15"/>
      <c r="G278" s="15"/>
      <c r="H278" s="300"/>
      <c r="I278" s="76"/>
      <c r="J278" s="76"/>
      <c r="K278" s="302"/>
      <c r="L278" s="124"/>
      <c r="M278" s="397"/>
      <c r="N278" s="76"/>
      <c r="O278" s="31"/>
      <c r="P278" s="78"/>
      <c r="Q278" s="397"/>
      <c r="R278" s="76"/>
      <c r="S278" s="77"/>
      <c r="T278" s="49"/>
      <c r="U278" s="53"/>
      <c r="V278" s="84"/>
      <c r="W278" s="448"/>
      <c r="X278" s="177"/>
      <c r="Y278" s="178"/>
      <c r="Z278" s="88"/>
      <c r="AA278" s="34"/>
      <c r="AB278" s="177"/>
      <c r="AC278" s="178"/>
      <c r="AD278" s="88"/>
      <c r="AE278" s="34"/>
    </row>
    <row r="279" spans="1:31" ht="12">
      <c r="A279" s="96" t="s">
        <v>348</v>
      </c>
      <c r="B279" s="15"/>
      <c r="C279" s="15"/>
      <c r="D279" s="15" t="s">
        <v>13</v>
      </c>
      <c r="E279" s="15"/>
      <c r="F279" s="15"/>
      <c r="G279" s="15"/>
      <c r="H279" s="300"/>
      <c r="I279" s="76"/>
      <c r="J279" s="76"/>
      <c r="K279" s="302"/>
      <c r="L279" s="124"/>
      <c r="M279" s="397"/>
      <c r="N279" s="76"/>
      <c r="O279" s="31"/>
      <c r="P279" s="78"/>
      <c r="Q279" s="397"/>
      <c r="R279" s="76"/>
      <c r="S279" s="77"/>
      <c r="T279" s="49"/>
      <c r="U279" s="53"/>
      <c r="V279" s="75"/>
      <c r="W279" s="448"/>
      <c r="X279" s="177"/>
      <c r="Y279" s="178"/>
      <c r="Z279" s="141"/>
      <c r="AA279" s="34"/>
      <c r="AB279" s="177"/>
      <c r="AC279" s="178"/>
      <c r="AD279" s="141"/>
      <c r="AE279" s="34"/>
    </row>
    <row r="280" spans="1:31" ht="12">
      <c r="A280" s="96" t="s">
        <v>349</v>
      </c>
      <c r="B280" s="15"/>
      <c r="C280" s="15"/>
      <c r="D280" s="15" t="s">
        <v>14</v>
      </c>
      <c r="E280" s="15"/>
      <c r="F280" s="15"/>
      <c r="G280" s="15"/>
      <c r="H280" s="300"/>
      <c r="I280" s="76"/>
      <c r="J280" s="76"/>
      <c r="K280" s="302"/>
      <c r="L280" s="124"/>
      <c r="M280" s="397"/>
      <c r="N280" s="76"/>
      <c r="O280" s="31"/>
      <c r="P280" s="78"/>
      <c r="Q280" s="397"/>
      <c r="R280" s="76"/>
      <c r="S280" s="77"/>
      <c r="T280" s="49"/>
      <c r="U280" s="53"/>
      <c r="V280" s="75"/>
      <c r="W280" s="448"/>
      <c r="X280" s="177"/>
      <c r="Y280" s="178"/>
      <c r="Z280" s="141"/>
      <c r="AA280" s="34"/>
      <c r="AB280" s="177"/>
      <c r="AC280" s="178"/>
      <c r="AD280" s="141"/>
      <c r="AE280" s="34"/>
    </row>
    <row r="281" spans="1:31" ht="12">
      <c r="A281" s="96"/>
      <c r="B281" s="15"/>
      <c r="C281" s="15" t="s">
        <v>16</v>
      </c>
      <c r="D281" s="15"/>
      <c r="E281" s="15"/>
      <c r="F281" s="15"/>
      <c r="G281" s="15"/>
      <c r="H281" s="300">
        <f>SUM(H271:H280)</f>
        <v>0</v>
      </c>
      <c r="I281" s="76">
        <f>SUM(I271:I280)</f>
        <v>0</v>
      </c>
      <c r="J281" s="76">
        <f>SUM(J271:J280)</f>
        <v>0</v>
      </c>
      <c r="K281" s="302">
        <f>SUM(K272:K280)</f>
        <v>0</v>
      </c>
      <c r="L281" s="124">
        <f>L272</f>
        <v>0</v>
      </c>
      <c r="M281" s="397">
        <f>M272</f>
        <v>0</v>
      </c>
      <c r="N281" s="95" t="e">
        <f>O281/M281</f>
        <v>#DIV/0!</v>
      </c>
      <c r="O281" s="31">
        <f>SUM(O271:O280)</f>
        <v>0</v>
      </c>
      <c r="P281" s="78">
        <f>P272</f>
        <v>0</v>
      </c>
      <c r="Q281" s="397">
        <f>Q272</f>
        <v>0</v>
      </c>
      <c r="R281" s="95" t="e">
        <f>S281/Q281</f>
        <v>#DIV/0!</v>
      </c>
      <c r="S281" s="77">
        <f>SUM(S271:S280)</f>
        <v>0</v>
      </c>
      <c r="T281" s="49">
        <f>T272</f>
        <v>0</v>
      </c>
      <c r="U281" s="397">
        <f>U272</f>
        <v>0</v>
      </c>
      <c r="V281" s="95" t="e">
        <f>W281/U281</f>
        <v>#DIV/0!</v>
      </c>
      <c r="W281" s="77">
        <f>SUM(W271:W280)</f>
        <v>0</v>
      </c>
      <c r="X281" s="177">
        <f>X272</f>
        <v>0</v>
      </c>
      <c r="Y281" s="398">
        <f>Y272</f>
        <v>0</v>
      </c>
      <c r="Z281" s="188" t="e">
        <f>AA281/Y281</f>
        <v>#DIV/0!</v>
      </c>
      <c r="AA281" s="139">
        <f>SUM(AA271:AA280)</f>
        <v>0</v>
      </c>
      <c r="AB281" s="177">
        <f>AB272</f>
        <v>0</v>
      </c>
      <c r="AC281" s="398">
        <f>AC272</f>
        <v>0</v>
      </c>
      <c r="AD281" s="188" t="e">
        <f>AE281/AC281</f>
        <v>#DIV/0!</v>
      </c>
      <c r="AE281" s="139">
        <f>SUM(AE271:AE280)</f>
        <v>0</v>
      </c>
    </row>
    <row r="282" spans="1:31" ht="12">
      <c r="A282" s="96"/>
      <c r="B282" s="15"/>
      <c r="C282" s="15" t="s">
        <v>10</v>
      </c>
      <c r="D282" s="15"/>
      <c r="E282" s="15"/>
      <c r="F282" s="15"/>
      <c r="G282" s="15"/>
      <c r="H282" s="300"/>
      <c r="I282" s="76"/>
      <c r="J282" s="76"/>
      <c r="K282" s="302"/>
      <c r="L282" s="124"/>
      <c r="M282" s="397"/>
      <c r="N282" s="76"/>
      <c r="O282" s="31"/>
      <c r="P282" s="78"/>
      <c r="Q282" s="397"/>
      <c r="R282" s="76"/>
      <c r="S282" s="77"/>
      <c r="T282" s="140"/>
      <c r="U282" s="178"/>
      <c r="V282" s="141"/>
      <c r="W282" s="34"/>
      <c r="X282" s="177"/>
      <c r="Y282" s="178"/>
      <c r="Z282" s="141"/>
      <c r="AA282" s="34"/>
      <c r="AB282" s="177"/>
      <c r="AC282" s="178"/>
      <c r="AD282" s="141"/>
      <c r="AE282" s="34"/>
    </row>
    <row r="283" spans="1:31" ht="12">
      <c r="A283" s="96" t="s">
        <v>350</v>
      </c>
      <c r="B283" s="15"/>
      <c r="C283" s="15"/>
      <c r="D283" s="15" t="s">
        <v>17</v>
      </c>
      <c r="E283" s="15"/>
      <c r="F283" s="15"/>
      <c r="G283" s="15"/>
      <c r="H283" s="300"/>
      <c r="I283" s="76"/>
      <c r="J283" s="76"/>
      <c r="K283" s="302"/>
      <c r="L283" s="124"/>
      <c r="M283" s="397"/>
      <c r="N283" s="76"/>
      <c r="O283" s="31"/>
      <c r="P283" s="78"/>
      <c r="Q283" s="397"/>
      <c r="R283" s="76"/>
      <c r="S283" s="77"/>
      <c r="T283" s="140"/>
      <c r="U283" s="178"/>
      <c r="V283" s="88"/>
      <c r="W283" s="34"/>
      <c r="X283" s="177"/>
      <c r="Y283" s="178"/>
      <c r="Z283" s="88"/>
      <c r="AA283" s="34"/>
      <c r="AB283" s="177"/>
      <c r="AC283" s="178"/>
      <c r="AD283" s="88"/>
      <c r="AE283" s="34"/>
    </row>
    <row r="284" spans="1:31" ht="12">
      <c r="A284" s="96" t="s">
        <v>351</v>
      </c>
      <c r="B284" s="15"/>
      <c r="C284" s="15"/>
      <c r="D284" s="15" t="s">
        <v>18</v>
      </c>
      <c r="E284" s="15"/>
      <c r="F284" s="15"/>
      <c r="G284" s="15"/>
      <c r="H284" s="300"/>
      <c r="I284" s="76"/>
      <c r="J284" s="76"/>
      <c r="K284" s="302"/>
      <c r="L284" s="124"/>
      <c r="M284" s="397"/>
      <c r="N284" s="95"/>
      <c r="O284" s="31"/>
      <c r="P284" s="78"/>
      <c r="Q284" s="397"/>
      <c r="R284" s="188"/>
      <c r="S284" s="139"/>
      <c r="T284" s="140"/>
      <c r="U284" s="398"/>
      <c r="V284" s="188"/>
      <c r="W284" s="139"/>
      <c r="X284" s="177"/>
      <c r="Y284" s="398"/>
      <c r="Z284" s="188"/>
      <c r="AA284" s="139"/>
      <c r="AB284" s="177"/>
      <c r="AC284" s="398"/>
      <c r="AD284" s="188"/>
      <c r="AE284" s="139"/>
    </row>
    <row r="285" spans="1:31" ht="12">
      <c r="A285" s="96"/>
      <c r="B285" s="15"/>
      <c r="C285" s="15" t="s">
        <v>15</v>
      </c>
      <c r="D285" s="15"/>
      <c r="E285" s="15"/>
      <c r="F285" s="15"/>
      <c r="G285" s="15"/>
      <c r="H285" s="300"/>
      <c r="I285" s="76"/>
      <c r="J285" s="76"/>
      <c r="K285" s="302"/>
      <c r="L285" s="124"/>
      <c r="M285" s="397"/>
      <c r="N285" s="76"/>
      <c r="O285" s="31"/>
      <c r="P285" s="78"/>
      <c r="Q285" s="397"/>
      <c r="R285" s="76"/>
      <c r="S285" s="77"/>
      <c r="T285" s="140"/>
      <c r="U285" s="178"/>
      <c r="V285" s="88"/>
      <c r="W285" s="34"/>
      <c r="X285" s="177"/>
      <c r="Y285" s="178"/>
      <c r="Z285" s="88"/>
      <c r="AA285" s="34"/>
      <c r="AB285" s="177"/>
      <c r="AC285" s="178"/>
      <c r="AD285" s="88"/>
      <c r="AE285" s="34"/>
    </row>
    <row r="286" spans="1:31" ht="12">
      <c r="A286" s="96" t="s">
        <v>352</v>
      </c>
      <c r="B286" s="15"/>
      <c r="C286" s="15"/>
      <c r="D286" s="15" t="s">
        <v>17</v>
      </c>
      <c r="E286" s="15"/>
      <c r="F286" s="15"/>
      <c r="G286" s="15"/>
      <c r="H286" s="300"/>
      <c r="I286" s="76"/>
      <c r="J286" s="76"/>
      <c r="K286" s="302"/>
      <c r="L286" s="124"/>
      <c r="M286" s="397"/>
      <c r="N286" s="76"/>
      <c r="O286" s="31"/>
      <c r="P286" s="78"/>
      <c r="Q286" s="397"/>
      <c r="R286" s="76"/>
      <c r="S286" s="77"/>
      <c r="T286" s="140"/>
      <c r="U286" s="178"/>
      <c r="V286" s="88"/>
      <c r="W286" s="34"/>
      <c r="X286" s="177"/>
      <c r="Y286" s="178"/>
      <c r="Z286" s="88"/>
      <c r="AA286" s="34"/>
      <c r="AB286" s="177"/>
      <c r="AC286" s="178"/>
      <c r="AD286" s="88"/>
      <c r="AE286" s="34"/>
    </row>
    <row r="287" spans="1:31" ht="12">
      <c r="A287" s="96" t="s">
        <v>353</v>
      </c>
      <c r="B287" s="15"/>
      <c r="C287" s="15"/>
      <c r="D287" s="15" t="s">
        <v>19</v>
      </c>
      <c r="E287" s="15"/>
      <c r="F287" s="15"/>
      <c r="G287" s="15"/>
      <c r="H287" s="303"/>
      <c r="I287" s="76"/>
      <c r="J287" s="76"/>
      <c r="K287" s="302"/>
      <c r="L287" s="124"/>
      <c r="M287" s="397"/>
      <c r="N287" s="76"/>
      <c r="O287" s="31"/>
      <c r="P287" s="78"/>
      <c r="Q287" s="397"/>
      <c r="R287" s="76"/>
      <c r="S287" s="77"/>
      <c r="T287" s="140"/>
      <c r="U287" s="178"/>
      <c r="V287" s="88"/>
      <c r="W287" s="34"/>
      <c r="X287" s="177"/>
      <c r="Y287" s="178"/>
      <c r="Z287" s="88"/>
      <c r="AA287" s="34"/>
      <c r="AB287" s="177"/>
      <c r="AC287" s="178"/>
      <c r="AD287" s="88"/>
      <c r="AE287" s="34"/>
    </row>
    <row r="288" spans="1:31" ht="12">
      <c r="A288" s="96"/>
      <c r="B288" s="15"/>
      <c r="C288" s="15" t="s">
        <v>20</v>
      </c>
      <c r="D288" s="15"/>
      <c r="E288" s="15"/>
      <c r="F288" s="15"/>
      <c r="G288" s="15"/>
      <c r="H288" s="300">
        <f>SUM(H282:H287)</f>
        <v>0</v>
      </c>
      <c r="I288" s="76">
        <f>SUM(I282:I287)</f>
        <v>0</v>
      </c>
      <c r="J288" s="76">
        <f>SUM(J282:J287)</f>
        <v>0</v>
      </c>
      <c r="K288" s="302">
        <f>SUM(K283:K287)</f>
        <v>0</v>
      </c>
      <c r="L288" s="124" t="s">
        <v>9</v>
      </c>
      <c r="M288" s="397">
        <f>M284</f>
        <v>0</v>
      </c>
      <c r="N288" s="95" t="e">
        <f>O288/M288</f>
        <v>#DIV/0!</v>
      </c>
      <c r="O288" s="31">
        <f>SUM(O282:O287)</f>
        <v>0</v>
      </c>
      <c r="P288" s="78" t="s">
        <v>9</v>
      </c>
      <c r="Q288" s="397">
        <f>Q284</f>
        <v>0</v>
      </c>
      <c r="R288" s="95" t="e">
        <f>S288/Q288</f>
        <v>#DIV/0!</v>
      </c>
      <c r="S288" s="77">
        <f>SUM(S282:S287)</f>
        <v>0</v>
      </c>
      <c r="T288" s="140">
        <f>T284</f>
        <v>0</v>
      </c>
      <c r="U288" s="398">
        <f>U284</f>
        <v>0</v>
      </c>
      <c r="V288" s="188" t="e">
        <f>W288/U288</f>
        <v>#DIV/0!</v>
      </c>
      <c r="W288" s="139">
        <f>SUM(W282:W287)</f>
        <v>0</v>
      </c>
      <c r="X288" s="177">
        <f>X284</f>
        <v>0</v>
      </c>
      <c r="Y288" s="398">
        <f>Y284</f>
        <v>0</v>
      </c>
      <c r="Z288" s="188" t="e">
        <f>AA288/Y288</f>
        <v>#DIV/0!</v>
      </c>
      <c r="AA288" s="139">
        <f>SUM(AA282:AA287)</f>
        <v>0</v>
      </c>
      <c r="AB288" s="177">
        <f>AB284</f>
        <v>0</v>
      </c>
      <c r="AC288" s="398">
        <f>AC284</f>
        <v>0</v>
      </c>
      <c r="AD288" s="188" t="e">
        <f>AE288/AC288</f>
        <v>#DIV/0!</v>
      </c>
      <c r="AE288" s="139">
        <f>SUM(AE282:AE287)</f>
        <v>0</v>
      </c>
    </row>
    <row r="289" spans="1:31" ht="12">
      <c r="A289" s="96"/>
      <c r="B289" s="86" t="s">
        <v>205</v>
      </c>
      <c r="C289" s="15"/>
      <c r="D289" s="15"/>
      <c r="E289" s="15"/>
      <c r="F289" s="15"/>
      <c r="G289" s="15"/>
      <c r="H289" s="300">
        <f>H281+H288+H270</f>
        <v>40000</v>
      </c>
      <c r="I289" s="76">
        <f>I281+I288+I270</f>
        <v>60000</v>
      </c>
      <c r="J289" s="76">
        <f>J281+J288+J270</f>
        <v>0</v>
      </c>
      <c r="K289" s="302">
        <f>K281+K288+K270</f>
        <v>100000</v>
      </c>
      <c r="L289" s="124" t="s">
        <v>9</v>
      </c>
      <c r="M289" s="397">
        <f>M281</f>
        <v>0</v>
      </c>
      <c r="N289" s="95" t="e">
        <f>O289/M289</f>
        <v>#DIV/0!</v>
      </c>
      <c r="O289" s="31">
        <f>O281+O288+O270</f>
        <v>100000</v>
      </c>
      <c r="P289" s="78" t="s">
        <v>9</v>
      </c>
      <c r="Q289" s="397">
        <f>Q281</f>
        <v>0</v>
      </c>
      <c r="R289" s="95" t="e">
        <f>S289/Q289</f>
        <v>#DIV/0!</v>
      </c>
      <c r="S289" s="77">
        <f>S281+S288+S270</f>
        <v>100000</v>
      </c>
      <c r="T289" s="140" t="s">
        <v>9</v>
      </c>
      <c r="U289" s="398">
        <f>U281</f>
        <v>0</v>
      </c>
      <c r="V289" s="188" t="e">
        <f>W289/U289</f>
        <v>#DIV/0!</v>
      </c>
      <c r="W289" s="139">
        <f>W281+W288+W270</f>
        <v>100000</v>
      </c>
      <c r="X289" s="177" t="s">
        <v>9</v>
      </c>
      <c r="Y289" s="398">
        <f>Y281</f>
        <v>0</v>
      </c>
      <c r="Z289" s="188" t="e">
        <f>AA289/Y289</f>
        <v>#DIV/0!</v>
      </c>
      <c r="AA289" s="139">
        <f>AA281+AA288+AA270</f>
        <v>100000</v>
      </c>
      <c r="AB289" s="177" t="s">
        <v>9</v>
      </c>
      <c r="AC289" s="398">
        <f>AC281</f>
        <v>0</v>
      </c>
      <c r="AD289" s="188" t="e">
        <f>AE289/AC289</f>
        <v>#DIV/0!</v>
      </c>
      <c r="AE289" s="139">
        <f>AE281+AE288+AE270</f>
        <v>100000</v>
      </c>
    </row>
    <row r="290" spans="1:31" ht="12">
      <c r="A290" s="85"/>
      <c r="B290" s="15"/>
      <c r="C290" s="15"/>
      <c r="D290" s="15"/>
      <c r="E290" s="15"/>
      <c r="F290" s="15"/>
      <c r="G290" s="15"/>
      <c r="H290" s="300"/>
      <c r="I290" s="76"/>
      <c r="J290" s="76"/>
      <c r="K290" s="302"/>
      <c r="L290" s="124"/>
      <c r="M290" s="53"/>
      <c r="N290" s="76"/>
      <c r="O290" s="31"/>
      <c r="P290" s="78"/>
      <c r="Q290" s="53"/>
      <c r="R290" s="76"/>
      <c r="S290" s="77"/>
      <c r="T290" s="273"/>
      <c r="U290" s="235"/>
      <c r="V290" s="235"/>
      <c r="W290" s="236"/>
      <c r="X290" s="177"/>
      <c r="Y290" s="97"/>
      <c r="Z290" s="97"/>
      <c r="AA290" s="34"/>
      <c r="AB290" s="177"/>
      <c r="AC290" s="97"/>
      <c r="AD290" s="97"/>
      <c r="AE290" s="34"/>
    </row>
    <row r="291" spans="1:31" ht="12">
      <c r="A291" s="85" t="s">
        <v>354</v>
      </c>
      <c r="B291" s="15" t="s">
        <v>455</v>
      </c>
      <c r="C291" s="15"/>
      <c r="D291" s="86"/>
      <c r="E291" s="86"/>
      <c r="F291" s="86"/>
      <c r="G291" s="86"/>
      <c r="H291" s="195"/>
      <c r="I291" s="138"/>
      <c r="J291" s="138"/>
      <c r="K291" s="309"/>
      <c r="L291" s="257"/>
      <c r="M291" s="178"/>
      <c r="N291" s="138"/>
      <c r="O291" s="43"/>
      <c r="P291" s="107"/>
      <c r="Q291" s="178"/>
      <c r="R291" s="138"/>
      <c r="S291" s="139"/>
      <c r="T291" s="273"/>
      <c r="U291" s="235"/>
      <c r="V291" s="238"/>
      <c r="W291" s="236"/>
      <c r="X291" s="177"/>
      <c r="Y291" s="97"/>
      <c r="Z291" s="88"/>
      <c r="AA291" s="34"/>
      <c r="AB291" s="177"/>
      <c r="AC291" s="97"/>
      <c r="AD291" s="88"/>
      <c r="AE291" s="34"/>
    </row>
    <row r="292" spans="1:31" ht="12">
      <c r="A292" s="85" t="s">
        <v>355</v>
      </c>
      <c r="B292" s="15"/>
      <c r="C292" s="15" t="s">
        <v>30</v>
      </c>
      <c r="D292" s="15"/>
      <c r="E292" s="86"/>
      <c r="F292" s="86"/>
      <c r="G292" s="86"/>
      <c r="H292" s="300">
        <v>15000</v>
      </c>
      <c r="I292" s="76">
        <v>20000</v>
      </c>
      <c r="J292" s="76"/>
      <c r="K292" s="302">
        <f>H292+I292+J292</f>
        <v>35000</v>
      </c>
      <c r="L292" s="124" t="s">
        <v>139</v>
      </c>
      <c r="M292" s="53">
        <v>1</v>
      </c>
      <c r="N292" s="76"/>
      <c r="O292" s="31">
        <f>K292</f>
        <v>35000</v>
      </c>
      <c r="P292" s="107" t="s">
        <v>139</v>
      </c>
      <c r="Q292" s="178">
        <v>1</v>
      </c>
      <c r="R292" s="76"/>
      <c r="S292" s="139">
        <f>O292</f>
        <v>35000</v>
      </c>
      <c r="T292" s="140" t="str">
        <f>P292</f>
        <v>lot</v>
      </c>
      <c r="U292" s="178">
        <f>Q292</f>
        <v>1</v>
      </c>
      <c r="V292" s="138"/>
      <c r="W292" s="34">
        <f>S292</f>
        <v>35000</v>
      </c>
      <c r="X292" s="177" t="str">
        <f>T292</f>
        <v>lot</v>
      </c>
      <c r="Y292" s="178">
        <f>U292</f>
        <v>1</v>
      </c>
      <c r="Z292" s="138"/>
      <c r="AA292" s="34">
        <f>W292</f>
        <v>35000</v>
      </c>
      <c r="AB292" s="177" t="str">
        <f>X292</f>
        <v>lot</v>
      </c>
      <c r="AC292" s="178">
        <f>Y292</f>
        <v>1</v>
      </c>
      <c r="AD292" s="138"/>
      <c r="AE292" s="34">
        <f>AA292</f>
        <v>35000</v>
      </c>
    </row>
    <row r="293" spans="1:31" ht="12">
      <c r="A293" s="96"/>
      <c r="B293" s="15"/>
      <c r="C293" s="15" t="s">
        <v>10</v>
      </c>
      <c r="D293" s="15"/>
      <c r="E293" s="15"/>
      <c r="F293" s="15"/>
      <c r="G293" s="15"/>
      <c r="H293" s="300"/>
      <c r="I293" s="76"/>
      <c r="J293" s="76"/>
      <c r="K293" s="302"/>
      <c r="L293" s="124"/>
      <c r="M293" s="53"/>
      <c r="N293" s="76"/>
      <c r="O293" s="31"/>
      <c r="P293" s="78"/>
      <c r="Q293" s="53"/>
      <c r="R293" s="76"/>
      <c r="S293" s="77"/>
      <c r="T293" s="49"/>
      <c r="U293" s="53"/>
      <c r="V293" s="76"/>
      <c r="W293" s="77"/>
      <c r="X293" s="177"/>
      <c r="Y293" s="178"/>
      <c r="Z293" s="138"/>
      <c r="AA293" s="139"/>
      <c r="AB293" s="177"/>
      <c r="AC293" s="178"/>
      <c r="AD293" s="138"/>
      <c r="AE293" s="139"/>
    </row>
    <row r="294" spans="1:31" ht="12">
      <c r="A294" s="96" t="s">
        <v>356</v>
      </c>
      <c r="B294" s="15"/>
      <c r="C294" s="15"/>
      <c r="D294" s="86" t="s">
        <v>11</v>
      </c>
      <c r="E294" s="15"/>
      <c r="F294" s="15"/>
      <c r="G294" s="15"/>
      <c r="H294" s="300"/>
      <c r="I294" s="76"/>
      <c r="J294" s="76"/>
      <c r="K294" s="302"/>
      <c r="L294" s="124"/>
      <c r="M294" s="53"/>
      <c r="N294" s="95"/>
      <c r="O294" s="31"/>
      <c r="P294" s="78"/>
      <c r="Q294" s="53"/>
      <c r="R294" s="188"/>
      <c r="S294" s="139"/>
      <c r="T294" s="49"/>
      <c r="U294" s="397"/>
      <c r="V294" s="188"/>
      <c r="W294" s="139"/>
      <c r="X294" s="177"/>
      <c r="Y294" s="398"/>
      <c r="Z294" s="188"/>
      <c r="AA294" s="139"/>
      <c r="AB294" s="177"/>
      <c r="AC294" s="398"/>
      <c r="AD294" s="188"/>
      <c r="AE294" s="139"/>
    </row>
    <row r="295" spans="1:31" ht="12">
      <c r="A295" s="96" t="s">
        <v>357</v>
      </c>
      <c r="B295" s="15"/>
      <c r="C295" s="15"/>
      <c r="D295" s="15" t="s">
        <v>12</v>
      </c>
      <c r="E295" s="15"/>
      <c r="F295" s="15"/>
      <c r="G295" s="15"/>
      <c r="H295" s="300"/>
      <c r="I295" s="76"/>
      <c r="J295" s="76"/>
      <c r="K295" s="302"/>
      <c r="L295" s="124"/>
      <c r="M295" s="53"/>
      <c r="N295" s="95"/>
      <c r="O295" s="31"/>
      <c r="P295" s="78"/>
      <c r="Q295" s="53"/>
      <c r="R295" s="95"/>
      <c r="S295" s="77"/>
      <c r="T295" s="49"/>
      <c r="U295" s="397"/>
      <c r="V295" s="138"/>
      <c r="W295" s="139"/>
      <c r="X295" s="177"/>
      <c r="Y295" s="398"/>
      <c r="Z295" s="138"/>
      <c r="AA295" s="139"/>
      <c r="AB295" s="177"/>
      <c r="AC295" s="398"/>
      <c r="AD295" s="138"/>
      <c r="AE295" s="139"/>
    </row>
    <row r="296" spans="1:31" ht="12">
      <c r="A296" s="96" t="s">
        <v>358</v>
      </c>
      <c r="B296" s="15"/>
      <c r="C296" s="15"/>
      <c r="D296" s="15" t="s">
        <v>13</v>
      </c>
      <c r="E296" s="15"/>
      <c r="F296" s="15"/>
      <c r="G296" s="15"/>
      <c r="H296" s="303"/>
      <c r="I296" s="73"/>
      <c r="J296" s="73"/>
      <c r="K296" s="304"/>
      <c r="L296" s="124"/>
      <c r="M296" s="53"/>
      <c r="N296" s="95"/>
      <c r="O296" s="31"/>
      <c r="P296" s="78"/>
      <c r="Q296" s="53"/>
      <c r="R296" s="95"/>
      <c r="S296" s="77"/>
      <c r="T296" s="49"/>
      <c r="U296" s="53"/>
      <c r="V296" s="188"/>
      <c r="W296" s="139"/>
      <c r="X296" s="177"/>
      <c r="Y296" s="178"/>
      <c r="Z296" s="188"/>
      <c r="AA296" s="139"/>
      <c r="AB296" s="177"/>
      <c r="AC296" s="178"/>
      <c r="AD296" s="188"/>
      <c r="AE296" s="139"/>
    </row>
    <row r="297" spans="1:31" ht="12">
      <c r="A297" s="96" t="s">
        <v>359</v>
      </c>
      <c r="B297" s="15"/>
      <c r="C297" s="15"/>
      <c r="D297" s="15" t="s">
        <v>14</v>
      </c>
      <c r="E297" s="15"/>
      <c r="F297" s="15"/>
      <c r="G297" s="15"/>
      <c r="H297" s="300"/>
      <c r="I297" s="76"/>
      <c r="J297" s="76"/>
      <c r="K297" s="302"/>
      <c r="L297" s="124"/>
      <c r="M297" s="53"/>
      <c r="N297" s="95"/>
      <c r="O297" s="31"/>
      <c r="P297" s="78"/>
      <c r="Q297" s="53"/>
      <c r="R297" s="188"/>
      <c r="S297" s="139"/>
      <c r="T297" s="49"/>
      <c r="U297" s="397"/>
      <c r="V297" s="95"/>
      <c r="W297" s="139"/>
      <c r="X297" s="177"/>
      <c r="Y297" s="398"/>
      <c r="Z297" s="188"/>
      <c r="AA297" s="139"/>
      <c r="AB297" s="177"/>
      <c r="AC297" s="398"/>
      <c r="AD297" s="188"/>
      <c r="AE297" s="139"/>
    </row>
    <row r="298" spans="1:31" ht="12">
      <c r="A298" s="96"/>
      <c r="B298" s="15"/>
      <c r="C298" s="15" t="s">
        <v>15</v>
      </c>
      <c r="D298" s="15"/>
      <c r="E298" s="15"/>
      <c r="F298" s="15"/>
      <c r="G298" s="15"/>
      <c r="H298" s="300"/>
      <c r="I298" s="76"/>
      <c r="J298" s="76"/>
      <c r="K298" s="302"/>
      <c r="L298" s="124"/>
      <c r="M298" s="53"/>
      <c r="N298" s="76"/>
      <c r="O298" s="31"/>
      <c r="P298" s="78"/>
      <c r="Q298" s="53"/>
      <c r="R298" s="76"/>
      <c r="S298" s="77"/>
      <c r="T298" s="49"/>
      <c r="U298" s="53"/>
      <c r="V298" s="75"/>
      <c r="W298" s="448"/>
      <c r="X298" s="177"/>
      <c r="Y298" s="178"/>
      <c r="Z298" s="141"/>
      <c r="AA298" s="34"/>
      <c r="AB298" s="177"/>
      <c r="AC298" s="178"/>
      <c r="AD298" s="141"/>
      <c r="AE298" s="34"/>
    </row>
    <row r="299" spans="1:31" ht="12">
      <c r="A299" s="96" t="s">
        <v>360</v>
      </c>
      <c r="B299" s="15"/>
      <c r="C299" s="15"/>
      <c r="D299" s="15" t="s">
        <v>11</v>
      </c>
      <c r="E299" s="15"/>
      <c r="F299" s="15"/>
      <c r="G299" s="15"/>
      <c r="H299" s="300"/>
      <c r="I299" s="76"/>
      <c r="J299" s="76"/>
      <c r="K299" s="302"/>
      <c r="L299" s="124"/>
      <c r="M299" s="53"/>
      <c r="N299" s="76"/>
      <c r="O299" s="31"/>
      <c r="P299" s="78"/>
      <c r="Q299" s="53"/>
      <c r="R299" s="76"/>
      <c r="S299" s="77"/>
      <c r="T299" s="49"/>
      <c r="U299" s="53"/>
      <c r="V299" s="75"/>
      <c r="W299" s="448"/>
      <c r="X299" s="177"/>
      <c r="Y299" s="178"/>
      <c r="Z299" s="141"/>
      <c r="AA299" s="34"/>
      <c r="AB299" s="177"/>
      <c r="AC299" s="178"/>
      <c r="AD299" s="141"/>
      <c r="AE299" s="34"/>
    </row>
    <row r="300" spans="1:31" ht="12">
      <c r="A300" s="96" t="s">
        <v>361</v>
      </c>
      <c r="B300" s="15"/>
      <c r="C300" s="15"/>
      <c r="D300" s="15" t="s">
        <v>12</v>
      </c>
      <c r="E300" s="15"/>
      <c r="F300" s="15"/>
      <c r="G300" s="15"/>
      <c r="H300" s="300"/>
      <c r="I300" s="76"/>
      <c r="J300" s="76"/>
      <c r="K300" s="302"/>
      <c r="L300" s="124"/>
      <c r="M300" s="53"/>
      <c r="N300" s="76"/>
      <c r="O300" s="31"/>
      <c r="P300" s="78"/>
      <c r="Q300" s="53"/>
      <c r="R300" s="76"/>
      <c r="S300" s="77"/>
      <c r="T300" s="49"/>
      <c r="U300" s="53"/>
      <c r="V300" s="84"/>
      <c r="W300" s="448"/>
      <c r="X300" s="177"/>
      <c r="Y300" s="178"/>
      <c r="Z300" s="88"/>
      <c r="AA300" s="34"/>
      <c r="AB300" s="177"/>
      <c r="AC300" s="178"/>
      <c r="AD300" s="88"/>
      <c r="AE300" s="34"/>
    </row>
    <row r="301" spans="1:31" ht="12">
      <c r="A301" s="96" t="s">
        <v>362</v>
      </c>
      <c r="B301" s="15"/>
      <c r="C301" s="15"/>
      <c r="D301" s="15" t="s">
        <v>13</v>
      </c>
      <c r="E301" s="15"/>
      <c r="F301" s="15"/>
      <c r="G301" s="15"/>
      <c r="H301" s="300"/>
      <c r="I301" s="76"/>
      <c r="J301" s="76"/>
      <c r="K301" s="302"/>
      <c r="L301" s="124"/>
      <c r="M301" s="53"/>
      <c r="N301" s="76"/>
      <c r="O301" s="31"/>
      <c r="P301" s="78"/>
      <c r="Q301" s="53"/>
      <c r="R301" s="76"/>
      <c r="S301" s="77"/>
      <c r="T301" s="49"/>
      <c r="U301" s="53"/>
      <c r="V301" s="75"/>
      <c r="W301" s="448"/>
      <c r="X301" s="177"/>
      <c r="Y301" s="178"/>
      <c r="Z301" s="141"/>
      <c r="AA301" s="34"/>
      <c r="AB301" s="177"/>
      <c r="AC301" s="178"/>
      <c r="AD301" s="141"/>
      <c r="AE301" s="34"/>
    </row>
    <row r="302" spans="1:31" ht="12">
      <c r="A302" s="96" t="s">
        <v>363</v>
      </c>
      <c r="B302" s="15"/>
      <c r="C302" s="15"/>
      <c r="D302" s="15" t="s">
        <v>14</v>
      </c>
      <c r="E302" s="15"/>
      <c r="F302" s="15"/>
      <c r="G302" s="15"/>
      <c r="H302" s="300"/>
      <c r="I302" s="76"/>
      <c r="J302" s="76"/>
      <c r="K302" s="302"/>
      <c r="L302" s="124"/>
      <c r="M302" s="53"/>
      <c r="N302" s="76"/>
      <c r="O302" s="31"/>
      <c r="P302" s="78"/>
      <c r="Q302" s="53"/>
      <c r="R302" s="76"/>
      <c r="S302" s="77"/>
      <c r="T302" s="49"/>
      <c r="U302" s="53"/>
      <c r="V302" s="75"/>
      <c r="W302" s="448"/>
      <c r="X302" s="177"/>
      <c r="Y302" s="178"/>
      <c r="Z302" s="141"/>
      <c r="AA302" s="34"/>
      <c r="AB302" s="177"/>
      <c r="AC302" s="178"/>
      <c r="AD302" s="141"/>
      <c r="AE302" s="34"/>
    </row>
    <row r="303" spans="1:31" ht="12">
      <c r="A303" s="96"/>
      <c r="B303" s="15"/>
      <c r="C303" s="15" t="s">
        <v>16</v>
      </c>
      <c r="D303" s="15"/>
      <c r="E303" s="15"/>
      <c r="F303" s="15"/>
      <c r="G303" s="15"/>
      <c r="H303" s="300">
        <f>SUM(H293:H302)</f>
        <v>0</v>
      </c>
      <c r="I303" s="76">
        <f>SUM(I293:I302)</f>
        <v>0</v>
      </c>
      <c r="J303" s="76">
        <f>SUM(J293:J302)</f>
        <v>0</v>
      </c>
      <c r="K303" s="302">
        <f>SUM(K294:K302)</f>
        <v>0</v>
      </c>
      <c r="L303" s="124" t="s">
        <v>9</v>
      </c>
      <c r="M303" s="397">
        <f>M294</f>
        <v>0</v>
      </c>
      <c r="N303" s="95" t="e">
        <f>O303/M303</f>
        <v>#DIV/0!</v>
      </c>
      <c r="O303" s="31">
        <f>SUM(O293:O302)</f>
        <v>0</v>
      </c>
      <c r="P303" s="78" t="s">
        <v>9</v>
      </c>
      <c r="Q303" s="397">
        <f>Q294</f>
        <v>0</v>
      </c>
      <c r="R303" s="95" t="e">
        <f>S303/Q303</f>
        <v>#DIV/0!</v>
      </c>
      <c r="S303" s="77">
        <f>SUM(S293:S302)</f>
        <v>0</v>
      </c>
      <c r="T303" s="49">
        <f>T294</f>
        <v>0</v>
      </c>
      <c r="U303" s="397">
        <f>U294</f>
        <v>0</v>
      </c>
      <c r="V303" s="95" t="e">
        <f>W303/U303</f>
        <v>#DIV/0!</v>
      </c>
      <c r="W303" s="77">
        <f>SUM(W293:W302)</f>
        <v>0</v>
      </c>
      <c r="X303" s="177">
        <f>X294</f>
        <v>0</v>
      </c>
      <c r="Y303" s="398">
        <f>Y294</f>
        <v>0</v>
      </c>
      <c r="Z303" s="188" t="e">
        <f>AA303/Y303</f>
        <v>#DIV/0!</v>
      </c>
      <c r="AA303" s="139">
        <f>SUM(AA293:AA302)</f>
        <v>0</v>
      </c>
      <c r="AB303" s="177">
        <f>AB294</f>
        <v>0</v>
      </c>
      <c r="AC303" s="398">
        <f>AC294</f>
        <v>0</v>
      </c>
      <c r="AD303" s="188" t="e">
        <f>AE303/AC303</f>
        <v>#DIV/0!</v>
      </c>
      <c r="AE303" s="139">
        <f>SUM(AE293:AE302)</f>
        <v>0</v>
      </c>
    </row>
    <row r="304" spans="1:31" ht="12">
      <c r="A304" s="96"/>
      <c r="B304" s="15"/>
      <c r="C304" s="15" t="s">
        <v>10</v>
      </c>
      <c r="D304" s="15"/>
      <c r="E304" s="15"/>
      <c r="F304" s="15"/>
      <c r="G304" s="15"/>
      <c r="H304" s="300"/>
      <c r="I304" s="76"/>
      <c r="J304" s="76"/>
      <c r="K304" s="302"/>
      <c r="L304" s="124"/>
      <c r="M304" s="397"/>
      <c r="N304" s="76"/>
      <c r="O304" s="31"/>
      <c r="P304" s="78"/>
      <c r="Q304" s="397"/>
      <c r="R304" s="76"/>
      <c r="S304" s="77"/>
      <c r="T304" s="140"/>
      <c r="U304" s="178"/>
      <c r="V304" s="141"/>
      <c r="W304" s="34"/>
      <c r="X304" s="177"/>
      <c r="Y304" s="178"/>
      <c r="Z304" s="141"/>
      <c r="AA304" s="34"/>
      <c r="AB304" s="177"/>
      <c r="AC304" s="178"/>
      <c r="AD304" s="141"/>
      <c r="AE304" s="34"/>
    </row>
    <row r="305" spans="1:31" ht="12">
      <c r="A305" s="96" t="s">
        <v>364</v>
      </c>
      <c r="B305" s="15"/>
      <c r="C305" s="15"/>
      <c r="D305" s="15" t="s">
        <v>17</v>
      </c>
      <c r="E305" s="15"/>
      <c r="F305" s="15"/>
      <c r="G305" s="15"/>
      <c r="H305" s="300"/>
      <c r="I305" s="76"/>
      <c r="J305" s="76"/>
      <c r="K305" s="302"/>
      <c r="L305" s="124"/>
      <c r="M305" s="397"/>
      <c r="N305" s="76"/>
      <c r="O305" s="31"/>
      <c r="P305" s="78"/>
      <c r="Q305" s="397"/>
      <c r="R305" s="76"/>
      <c r="S305" s="77"/>
      <c r="T305" s="140"/>
      <c r="U305" s="178"/>
      <c r="V305" s="88"/>
      <c r="W305" s="34"/>
      <c r="X305" s="177"/>
      <c r="Y305" s="178"/>
      <c r="Z305" s="88"/>
      <c r="AA305" s="34"/>
      <c r="AB305" s="177"/>
      <c r="AC305" s="178"/>
      <c r="AD305" s="88"/>
      <c r="AE305" s="34"/>
    </row>
    <row r="306" spans="1:31" ht="12">
      <c r="A306" s="96" t="s">
        <v>365</v>
      </c>
      <c r="B306" s="15"/>
      <c r="C306" s="15"/>
      <c r="D306" s="15" t="s">
        <v>18</v>
      </c>
      <c r="E306" s="15"/>
      <c r="F306" s="15"/>
      <c r="G306" s="15"/>
      <c r="H306" s="300"/>
      <c r="I306" s="76"/>
      <c r="J306" s="76"/>
      <c r="K306" s="302"/>
      <c r="L306" s="124"/>
      <c r="M306" s="397"/>
      <c r="N306" s="95"/>
      <c r="O306" s="31"/>
      <c r="P306" s="78"/>
      <c r="Q306" s="397"/>
      <c r="R306" s="188"/>
      <c r="S306" s="139"/>
      <c r="T306" s="140"/>
      <c r="U306" s="398"/>
      <c r="V306" s="188"/>
      <c r="W306" s="139"/>
      <c r="X306" s="177"/>
      <c r="Y306" s="398"/>
      <c r="Z306" s="188"/>
      <c r="AA306" s="139"/>
      <c r="AB306" s="177"/>
      <c r="AC306" s="398"/>
      <c r="AD306" s="188"/>
      <c r="AE306" s="139"/>
    </row>
    <row r="307" spans="1:31" ht="12">
      <c r="A307" s="96"/>
      <c r="B307" s="15"/>
      <c r="C307" s="15" t="s">
        <v>15</v>
      </c>
      <c r="D307" s="15"/>
      <c r="E307" s="15"/>
      <c r="F307" s="15"/>
      <c r="G307" s="15"/>
      <c r="H307" s="300"/>
      <c r="I307" s="76"/>
      <c r="J307" s="76"/>
      <c r="K307" s="302"/>
      <c r="L307" s="124"/>
      <c r="M307" s="397"/>
      <c r="N307" s="76"/>
      <c r="O307" s="31"/>
      <c r="P307" s="78"/>
      <c r="Q307" s="397"/>
      <c r="R307" s="76"/>
      <c r="S307" s="77"/>
      <c r="T307" s="140"/>
      <c r="U307" s="178"/>
      <c r="V307" s="88"/>
      <c r="W307" s="34"/>
      <c r="X307" s="177"/>
      <c r="Y307" s="178"/>
      <c r="Z307" s="88"/>
      <c r="AA307" s="34"/>
      <c r="AB307" s="177"/>
      <c r="AC307" s="178"/>
      <c r="AD307" s="88"/>
      <c r="AE307" s="34"/>
    </row>
    <row r="308" spans="1:31" ht="12">
      <c r="A308" s="96" t="s">
        <v>366</v>
      </c>
      <c r="B308" s="15"/>
      <c r="C308" s="15"/>
      <c r="D308" s="15" t="s">
        <v>17</v>
      </c>
      <c r="E308" s="15"/>
      <c r="F308" s="15"/>
      <c r="G308" s="15"/>
      <c r="H308" s="300"/>
      <c r="I308" s="76"/>
      <c r="J308" s="76"/>
      <c r="K308" s="302"/>
      <c r="L308" s="124"/>
      <c r="M308" s="397"/>
      <c r="N308" s="76"/>
      <c r="O308" s="31"/>
      <c r="P308" s="78"/>
      <c r="Q308" s="397"/>
      <c r="R308" s="76"/>
      <c r="S308" s="77"/>
      <c r="T308" s="140"/>
      <c r="U308" s="178"/>
      <c r="V308" s="88"/>
      <c r="W308" s="34"/>
      <c r="X308" s="177"/>
      <c r="Y308" s="178"/>
      <c r="Z308" s="88"/>
      <c r="AA308" s="34"/>
      <c r="AB308" s="177"/>
      <c r="AC308" s="178"/>
      <c r="AD308" s="88"/>
      <c r="AE308" s="34"/>
    </row>
    <row r="309" spans="1:31" ht="12">
      <c r="A309" s="96" t="s">
        <v>367</v>
      </c>
      <c r="B309" s="15"/>
      <c r="C309" s="15"/>
      <c r="D309" s="15" t="s">
        <v>19</v>
      </c>
      <c r="E309" s="15"/>
      <c r="F309" s="15"/>
      <c r="G309" s="15"/>
      <c r="H309" s="303"/>
      <c r="I309" s="76"/>
      <c r="J309" s="76"/>
      <c r="K309" s="302"/>
      <c r="L309" s="124"/>
      <c r="M309" s="397"/>
      <c r="N309" s="76"/>
      <c r="O309" s="31"/>
      <c r="P309" s="78"/>
      <c r="Q309" s="397"/>
      <c r="R309" s="76"/>
      <c r="S309" s="77"/>
      <c r="T309" s="140"/>
      <c r="U309" s="178"/>
      <c r="V309" s="88"/>
      <c r="W309" s="34"/>
      <c r="X309" s="177"/>
      <c r="Y309" s="178"/>
      <c r="Z309" s="88"/>
      <c r="AA309" s="34"/>
      <c r="AB309" s="177"/>
      <c r="AC309" s="178"/>
      <c r="AD309" s="88"/>
      <c r="AE309" s="34"/>
    </row>
    <row r="310" spans="1:31" ht="12">
      <c r="A310" s="96"/>
      <c r="B310" s="15"/>
      <c r="C310" s="15" t="s">
        <v>20</v>
      </c>
      <c r="D310" s="15"/>
      <c r="E310" s="15"/>
      <c r="F310" s="15"/>
      <c r="G310" s="15"/>
      <c r="H310" s="300">
        <f>SUM(H304:H309)</f>
        <v>0</v>
      </c>
      <c r="I310" s="76">
        <f>SUM(I304:I309)</f>
        <v>0</v>
      </c>
      <c r="J310" s="76">
        <f>SUM(J304:J309)</f>
        <v>0</v>
      </c>
      <c r="K310" s="302">
        <f>SUM(K305:K309)</f>
        <v>0</v>
      </c>
      <c r="L310" s="124" t="s">
        <v>9</v>
      </c>
      <c r="M310" s="397">
        <f>M306</f>
        <v>0</v>
      </c>
      <c r="N310" s="95" t="e">
        <f>O310/M310</f>
        <v>#DIV/0!</v>
      </c>
      <c r="O310" s="31">
        <f>SUM(O304:O309)</f>
        <v>0</v>
      </c>
      <c r="P310" s="78" t="s">
        <v>9</v>
      </c>
      <c r="Q310" s="397">
        <f>Q306</f>
        <v>0</v>
      </c>
      <c r="R310" s="95" t="e">
        <f>S310/Q310</f>
        <v>#DIV/0!</v>
      </c>
      <c r="S310" s="77">
        <f>SUM(S304:S309)</f>
        <v>0</v>
      </c>
      <c r="T310" s="140">
        <f>T306</f>
        <v>0</v>
      </c>
      <c r="U310" s="398">
        <f>U306</f>
        <v>0</v>
      </c>
      <c r="V310" s="188" t="e">
        <f>W310/U310</f>
        <v>#DIV/0!</v>
      </c>
      <c r="W310" s="139">
        <f>SUM(W304:W309)</f>
        <v>0</v>
      </c>
      <c r="X310" s="177">
        <f>X306</f>
        <v>0</v>
      </c>
      <c r="Y310" s="398">
        <f>Y306</f>
        <v>0</v>
      </c>
      <c r="Z310" s="188" t="e">
        <f>AA310/Y310</f>
        <v>#DIV/0!</v>
      </c>
      <c r="AA310" s="139">
        <f>SUM(AA304:AA309)</f>
        <v>0</v>
      </c>
      <c r="AB310" s="177">
        <f>AB306</f>
        <v>0</v>
      </c>
      <c r="AC310" s="398">
        <f>AC306</f>
        <v>0</v>
      </c>
      <c r="AD310" s="188" t="e">
        <f>AE310/AC310</f>
        <v>#DIV/0!</v>
      </c>
      <c r="AE310" s="139">
        <f>SUM(AE304:AE309)</f>
        <v>0</v>
      </c>
    </row>
    <row r="311" spans="1:31" ht="12">
      <c r="A311" s="96"/>
      <c r="B311" s="15" t="s">
        <v>207</v>
      </c>
      <c r="C311" s="15"/>
      <c r="D311" s="15"/>
      <c r="E311" s="15"/>
      <c r="F311" s="15"/>
      <c r="G311" s="15"/>
      <c r="H311" s="300">
        <f>H303+H310+H292</f>
        <v>15000</v>
      </c>
      <c r="I311" s="76">
        <f>I303+I310+I292</f>
        <v>20000</v>
      </c>
      <c r="J311" s="76">
        <f>J303+J310+J292</f>
        <v>0</v>
      </c>
      <c r="K311" s="302">
        <f>K303+K310+K292</f>
        <v>35000</v>
      </c>
      <c r="L311" s="124" t="s">
        <v>9</v>
      </c>
      <c r="M311" s="397">
        <f>M303</f>
        <v>0</v>
      </c>
      <c r="N311" s="95" t="e">
        <f>O311/M311</f>
        <v>#DIV/0!</v>
      </c>
      <c r="O311" s="31">
        <f>O303+O310+O292</f>
        <v>35000</v>
      </c>
      <c r="P311" s="78" t="s">
        <v>9</v>
      </c>
      <c r="Q311" s="397">
        <f>Q303</f>
        <v>0</v>
      </c>
      <c r="R311" s="95" t="e">
        <f>S311/Q311</f>
        <v>#DIV/0!</v>
      </c>
      <c r="S311" s="77">
        <f>S303+S310+S292</f>
        <v>35000</v>
      </c>
      <c r="T311" s="140" t="s">
        <v>9</v>
      </c>
      <c r="U311" s="398">
        <f>U303</f>
        <v>0</v>
      </c>
      <c r="V311" s="188" t="e">
        <f>W311/U311</f>
        <v>#DIV/0!</v>
      </c>
      <c r="W311" s="139">
        <f>W303+W310+W292</f>
        <v>35000</v>
      </c>
      <c r="X311" s="177" t="s">
        <v>9</v>
      </c>
      <c r="Y311" s="398">
        <f>Y303</f>
        <v>0</v>
      </c>
      <c r="Z311" s="188" t="e">
        <f>AA311/Y311</f>
        <v>#DIV/0!</v>
      </c>
      <c r="AA311" s="139">
        <f>AA303+AA310+AA292</f>
        <v>35000</v>
      </c>
      <c r="AB311" s="177" t="s">
        <v>9</v>
      </c>
      <c r="AC311" s="398">
        <f>AC303</f>
        <v>0</v>
      </c>
      <c r="AD311" s="188" t="e">
        <f>AE311/AC311</f>
        <v>#DIV/0!</v>
      </c>
      <c r="AE311" s="139">
        <f>AE303+AE310+AE292</f>
        <v>35000</v>
      </c>
    </row>
    <row r="312" spans="1:31" ht="12">
      <c r="A312" s="96"/>
      <c r="B312" s="15"/>
      <c r="C312" s="15"/>
      <c r="D312" s="15"/>
      <c r="E312" s="15"/>
      <c r="F312" s="15"/>
      <c r="G312" s="15"/>
      <c r="H312" s="300"/>
      <c r="I312" s="76"/>
      <c r="J312" s="76"/>
      <c r="K312" s="302"/>
      <c r="L312" s="124"/>
      <c r="M312" s="53"/>
      <c r="N312" s="76"/>
      <c r="O312" s="31"/>
      <c r="P312" s="78"/>
      <c r="Q312" s="53"/>
      <c r="R312" s="76"/>
      <c r="S312" s="77"/>
      <c r="T312" s="140"/>
      <c r="U312" s="178"/>
      <c r="V312" s="138"/>
      <c r="W312" s="139"/>
      <c r="X312" s="231"/>
      <c r="Y312" s="232"/>
      <c r="Z312" s="233"/>
      <c r="AA312" s="338"/>
      <c r="AB312" s="231"/>
      <c r="AC312" s="232"/>
      <c r="AD312" s="233"/>
      <c r="AE312" s="338"/>
    </row>
    <row r="313" spans="1:31" ht="12">
      <c r="A313" s="85" t="s">
        <v>368</v>
      </c>
      <c r="B313" s="86" t="s">
        <v>208</v>
      </c>
      <c r="C313" s="86"/>
      <c r="D313" s="86"/>
      <c r="E313" s="86"/>
      <c r="F313" s="86"/>
      <c r="G313" s="86"/>
      <c r="H313" s="195"/>
      <c r="I313" s="138"/>
      <c r="J313" s="138"/>
      <c r="K313" s="302"/>
      <c r="L313" s="257"/>
      <c r="M313" s="178"/>
      <c r="N313" s="76"/>
      <c r="O313" s="43"/>
      <c r="P313" s="107"/>
      <c r="Q313" s="178"/>
      <c r="R313" s="76"/>
      <c r="S313" s="139"/>
      <c r="T313" s="273"/>
      <c r="U313" s="235"/>
      <c r="V313" s="233"/>
      <c r="W313" s="236"/>
      <c r="X313" s="231"/>
      <c r="Y313" s="235"/>
      <c r="Z313" s="233"/>
      <c r="AA313" s="236"/>
      <c r="AB313" s="231"/>
      <c r="AC313" s="235"/>
      <c r="AD313" s="233"/>
      <c r="AE313" s="236"/>
    </row>
    <row r="314" spans="1:31" ht="12">
      <c r="A314" s="85" t="s">
        <v>369</v>
      </c>
      <c r="B314" s="86"/>
      <c r="C314" s="86" t="s">
        <v>30</v>
      </c>
      <c r="D314" s="86"/>
      <c r="E314" s="86"/>
      <c r="F314" s="86"/>
      <c r="G314" s="86"/>
      <c r="H314" s="300">
        <v>5000</v>
      </c>
      <c r="I314" s="76">
        <v>3000</v>
      </c>
      <c r="J314" s="76"/>
      <c r="K314" s="302">
        <f>H314+I314+J314</f>
        <v>8000</v>
      </c>
      <c r="L314" s="124" t="s">
        <v>139</v>
      </c>
      <c r="M314" s="53">
        <v>1</v>
      </c>
      <c r="N314" s="76"/>
      <c r="O314" s="31">
        <f>K314</f>
        <v>8000</v>
      </c>
      <c r="P314" s="107" t="s">
        <v>139</v>
      </c>
      <c r="Q314" s="178">
        <v>1</v>
      </c>
      <c r="R314" s="76"/>
      <c r="S314" s="139">
        <f>O314</f>
        <v>8000</v>
      </c>
      <c r="T314" s="140" t="str">
        <f>P314</f>
        <v>lot</v>
      </c>
      <c r="U314" s="178">
        <f>Q314</f>
        <v>1</v>
      </c>
      <c r="V314" s="138"/>
      <c r="W314" s="34">
        <f>S314</f>
        <v>8000</v>
      </c>
      <c r="X314" s="177" t="str">
        <f>T314</f>
        <v>lot</v>
      </c>
      <c r="Y314" s="178">
        <f>U314</f>
        <v>1</v>
      </c>
      <c r="Z314" s="138"/>
      <c r="AA314" s="34">
        <f>W314</f>
        <v>8000</v>
      </c>
      <c r="AB314" s="177" t="str">
        <f>X314</f>
        <v>lot</v>
      </c>
      <c r="AC314" s="178">
        <f>Y314</f>
        <v>1</v>
      </c>
      <c r="AD314" s="138"/>
      <c r="AE314" s="34">
        <f>AA314</f>
        <v>8000</v>
      </c>
    </row>
    <row r="315" spans="1:31" ht="12">
      <c r="A315" s="96"/>
      <c r="B315" s="86"/>
      <c r="C315" s="86" t="s">
        <v>10</v>
      </c>
      <c r="D315" s="86"/>
      <c r="E315" s="86"/>
      <c r="F315" s="86"/>
      <c r="G315" s="86"/>
      <c r="H315" s="300"/>
      <c r="I315" s="76"/>
      <c r="J315" s="76"/>
      <c r="K315" s="302"/>
      <c r="L315" s="124"/>
      <c r="M315" s="53"/>
      <c r="N315" s="76"/>
      <c r="O315" s="31"/>
      <c r="P315" s="107"/>
      <c r="Q315" s="178"/>
      <c r="R315" s="138"/>
      <c r="S315" s="139"/>
      <c r="T315" s="49"/>
      <c r="U315" s="53"/>
      <c r="V315" s="76"/>
      <c r="W315" s="77"/>
      <c r="X315" s="177"/>
      <c r="Y315" s="178"/>
      <c r="Z315" s="138"/>
      <c r="AA315" s="139"/>
      <c r="AB315" s="177"/>
      <c r="AC315" s="178"/>
      <c r="AD315" s="138"/>
      <c r="AE315" s="139"/>
    </row>
    <row r="316" spans="1:31" ht="12">
      <c r="A316" s="96" t="s">
        <v>370</v>
      </c>
      <c r="B316" s="86"/>
      <c r="C316" s="86"/>
      <c r="D316" s="86" t="s">
        <v>11</v>
      </c>
      <c r="E316" s="86"/>
      <c r="F316" s="86"/>
      <c r="G316" s="86"/>
      <c r="H316" s="300"/>
      <c r="I316" s="76"/>
      <c r="J316" s="76"/>
      <c r="K316" s="302"/>
      <c r="L316" s="124"/>
      <c r="M316" s="53"/>
      <c r="N316" s="95"/>
      <c r="O316" s="31"/>
      <c r="P316" s="107"/>
      <c r="Q316" s="178"/>
      <c r="R316" s="188"/>
      <c r="S316" s="139"/>
      <c r="T316" s="49"/>
      <c r="U316" s="397"/>
      <c r="V316" s="188"/>
      <c r="W316" s="139"/>
      <c r="X316" s="177"/>
      <c r="Y316" s="398"/>
      <c r="Z316" s="188"/>
      <c r="AA316" s="139"/>
      <c r="AB316" s="177"/>
      <c r="AC316" s="398"/>
      <c r="AD316" s="188"/>
      <c r="AE316" s="139"/>
    </row>
    <row r="317" spans="1:31" ht="12">
      <c r="A317" s="96" t="s">
        <v>371</v>
      </c>
      <c r="B317" s="86"/>
      <c r="C317" s="86"/>
      <c r="D317" s="86" t="s">
        <v>12</v>
      </c>
      <c r="E317" s="86"/>
      <c r="F317" s="86"/>
      <c r="G317" s="86"/>
      <c r="H317" s="300"/>
      <c r="I317" s="76"/>
      <c r="J317" s="76"/>
      <c r="K317" s="302"/>
      <c r="L317" s="124"/>
      <c r="M317" s="53"/>
      <c r="N317" s="95"/>
      <c r="O317" s="31"/>
      <c r="P317" s="107"/>
      <c r="Q317" s="178"/>
      <c r="R317" s="188"/>
      <c r="S317" s="139"/>
      <c r="T317" s="49"/>
      <c r="U317" s="397"/>
      <c r="V317" s="138"/>
      <c r="W317" s="139"/>
      <c r="X317" s="177"/>
      <c r="Y317" s="398"/>
      <c r="Z317" s="138"/>
      <c r="AA317" s="139"/>
      <c r="AB317" s="177"/>
      <c r="AC317" s="398"/>
      <c r="AD317" s="138"/>
      <c r="AE317" s="139"/>
    </row>
    <row r="318" spans="1:31" ht="12">
      <c r="A318" s="96" t="s">
        <v>372</v>
      </c>
      <c r="B318" s="86"/>
      <c r="C318" s="86"/>
      <c r="D318" s="86" t="s">
        <v>13</v>
      </c>
      <c r="E318" s="86"/>
      <c r="F318" s="86"/>
      <c r="G318" s="86"/>
      <c r="H318" s="303"/>
      <c r="I318" s="73"/>
      <c r="J318" s="73"/>
      <c r="K318" s="304"/>
      <c r="L318" s="124"/>
      <c r="M318" s="53"/>
      <c r="N318" s="95"/>
      <c r="O318" s="31"/>
      <c r="P318" s="107"/>
      <c r="Q318" s="178"/>
      <c r="R318" s="188"/>
      <c r="S318" s="139"/>
      <c r="T318" s="49"/>
      <c r="U318" s="53"/>
      <c r="V318" s="188"/>
      <c r="W318" s="139"/>
      <c r="X318" s="177"/>
      <c r="Y318" s="178"/>
      <c r="Z318" s="188"/>
      <c r="AA318" s="139"/>
      <c r="AB318" s="177"/>
      <c r="AC318" s="178"/>
      <c r="AD318" s="188"/>
      <c r="AE318" s="139"/>
    </row>
    <row r="319" spans="1:31" ht="12">
      <c r="A319" s="96" t="s">
        <v>373</v>
      </c>
      <c r="B319" s="86"/>
      <c r="C319" s="86"/>
      <c r="D319" s="86" t="s">
        <v>14</v>
      </c>
      <c r="E319" s="86"/>
      <c r="F319" s="86"/>
      <c r="G319" s="86"/>
      <c r="H319" s="300"/>
      <c r="I319" s="76"/>
      <c r="J319" s="76"/>
      <c r="K319" s="302"/>
      <c r="L319" s="124"/>
      <c r="M319" s="53"/>
      <c r="N319" s="95"/>
      <c r="O319" s="31"/>
      <c r="P319" s="107"/>
      <c r="Q319" s="178"/>
      <c r="R319" s="188"/>
      <c r="S319" s="139"/>
      <c r="T319" s="49"/>
      <c r="U319" s="397"/>
      <c r="V319" s="95"/>
      <c r="W319" s="139"/>
      <c r="X319" s="177"/>
      <c r="Y319" s="398"/>
      <c r="Z319" s="188"/>
      <c r="AA319" s="139"/>
      <c r="AB319" s="177"/>
      <c r="AC319" s="398"/>
      <c r="AD319" s="188"/>
      <c r="AE319" s="139"/>
    </row>
    <row r="320" spans="1:31" ht="12">
      <c r="A320" s="96"/>
      <c r="B320" s="86"/>
      <c r="C320" s="86" t="s">
        <v>15</v>
      </c>
      <c r="D320" s="86"/>
      <c r="E320" s="86"/>
      <c r="F320" s="86"/>
      <c r="G320" s="86"/>
      <c r="H320" s="300"/>
      <c r="I320" s="76"/>
      <c r="J320" s="76"/>
      <c r="K320" s="302"/>
      <c r="L320" s="124"/>
      <c r="M320" s="53"/>
      <c r="N320" s="76"/>
      <c r="O320" s="31"/>
      <c r="P320" s="107"/>
      <c r="Q320" s="178"/>
      <c r="R320" s="138"/>
      <c r="S320" s="139"/>
      <c r="T320" s="49"/>
      <c r="U320" s="53"/>
      <c r="V320" s="75"/>
      <c r="W320" s="448"/>
      <c r="X320" s="177"/>
      <c r="Y320" s="178"/>
      <c r="Z320" s="141"/>
      <c r="AA320" s="34"/>
      <c r="AB320" s="177"/>
      <c r="AC320" s="178"/>
      <c r="AD320" s="141"/>
      <c r="AE320" s="34"/>
    </row>
    <row r="321" spans="1:31" ht="12">
      <c r="A321" s="96" t="s">
        <v>374</v>
      </c>
      <c r="B321" s="86"/>
      <c r="C321" s="86"/>
      <c r="D321" s="86" t="s">
        <v>11</v>
      </c>
      <c r="E321" s="86"/>
      <c r="F321" s="86"/>
      <c r="G321" s="86"/>
      <c r="H321" s="300"/>
      <c r="I321" s="76"/>
      <c r="J321" s="76"/>
      <c r="K321" s="302"/>
      <c r="L321" s="124"/>
      <c r="M321" s="53"/>
      <c r="N321" s="76"/>
      <c r="O321" s="31"/>
      <c r="P321" s="107"/>
      <c r="Q321" s="178"/>
      <c r="R321" s="138"/>
      <c r="S321" s="139"/>
      <c r="T321" s="49"/>
      <c r="U321" s="53"/>
      <c r="V321" s="75"/>
      <c r="W321" s="448"/>
      <c r="X321" s="177"/>
      <c r="Y321" s="178"/>
      <c r="Z321" s="141"/>
      <c r="AA321" s="34"/>
      <c r="AB321" s="177"/>
      <c r="AC321" s="178"/>
      <c r="AD321" s="141"/>
      <c r="AE321" s="34"/>
    </row>
    <row r="322" spans="1:31" ht="12">
      <c r="A322" s="96" t="s">
        <v>375</v>
      </c>
      <c r="B322" s="86"/>
      <c r="C322" s="86"/>
      <c r="D322" s="86" t="s">
        <v>12</v>
      </c>
      <c r="E322" s="86"/>
      <c r="F322" s="86"/>
      <c r="G322" s="86"/>
      <c r="H322" s="300"/>
      <c r="I322" s="76"/>
      <c r="J322" s="76"/>
      <c r="K322" s="302"/>
      <c r="L322" s="124"/>
      <c r="M322" s="53"/>
      <c r="N322" s="76"/>
      <c r="O322" s="31"/>
      <c r="P322" s="107"/>
      <c r="Q322" s="178"/>
      <c r="R322" s="138"/>
      <c r="S322" s="139"/>
      <c r="T322" s="49"/>
      <c r="U322" s="53"/>
      <c r="V322" s="84"/>
      <c r="W322" s="448"/>
      <c r="X322" s="177"/>
      <c r="Y322" s="178"/>
      <c r="Z322" s="88"/>
      <c r="AA322" s="34"/>
      <c r="AB322" s="177"/>
      <c r="AC322" s="178"/>
      <c r="AD322" s="88"/>
      <c r="AE322" s="34"/>
    </row>
    <row r="323" spans="1:31" ht="12">
      <c r="A323" s="96" t="s">
        <v>376</v>
      </c>
      <c r="B323" s="86"/>
      <c r="C323" s="86"/>
      <c r="D323" s="86" t="s">
        <v>13</v>
      </c>
      <c r="E323" s="86"/>
      <c r="F323" s="86"/>
      <c r="G323" s="86"/>
      <c r="H323" s="300"/>
      <c r="I323" s="76"/>
      <c r="J323" s="76"/>
      <c r="K323" s="302"/>
      <c r="L323" s="124"/>
      <c r="M323" s="53"/>
      <c r="N323" s="76"/>
      <c r="O323" s="31"/>
      <c r="P323" s="107"/>
      <c r="Q323" s="178"/>
      <c r="R323" s="138"/>
      <c r="S323" s="139"/>
      <c r="T323" s="49"/>
      <c r="U323" s="53"/>
      <c r="V323" s="75"/>
      <c r="W323" s="448"/>
      <c r="X323" s="177"/>
      <c r="Y323" s="178"/>
      <c r="Z323" s="141"/>
      <c r="AA323" s="34"/>
      <c r="AB323" s="177"/>
      <c r="AC323" s="178"/>
      <c r="AD323" s="141"/>
      <c r="AE323" s="34"/>
    </row>
    <row r="324" spans="1:31" ht="12">
      <c r="A324" s="96" t="s">
        <v>377</v>
      </c>
      <c r="B324" s="86"/>
      <c r="C324" s="86"/>
      <c r="D324" s="86" t="s">
        <v>14</v>
      </c>
      <c r="E324" s="86"/>
      <c r="F324" s="86"/>
      <c r="G324" s="86"/>
      <c r="H324" s="300"/>
      <c r="I324" s="76"/>
      <c r="J324" s="76"/>
      <c r="K324" s="302"/>
      <c r="L324" s="124"/>
      <c r="M324" s="53"/>
      <c r="N324" s="76"/>
      <c r="O324" s="31"/>
      <c r="P324" s="107"/>
      <c r="Q324" s="178"/>
      <c r="R324" s="138"/>
      <c r="S324" s="139"/>
      <c r="T324" s="49"/>
      <c r="U324" s="53"/>
      <c r="V324" s="75"/>
      <c r="W324" s="448"/>
      <c r="X324" s="177"/>
      <c r="Y324" s="178"/>
      <c r="Z324" s="141"/>
      <c r="AA324" s="34"/>
      <c r="AB324" s="177"/>
      <c r="AC324" s="178"/>
      <c r="AD324" s="141"/>
      <c r="AE324" s="34"/>
    </row>
    <row r="325" spans="1:31" ht="12">
      <c r="A325" s="96"/>
      <c r="B325" s="86"/>
      <c r="C325" s="86" t="s">
        <v>16</v>
      </c>
      <c r="D325" s="86"/>
      <c r="E325" s="86"/>
      <c r="F325" s="86"/>
      <c r="G325" s="86"/>
      <c r="H325" s="300">
        <f>SUM(H315:H324)</f>
        <v>0</v>
      </c>
      <c r="I325" s="76">
        <f>SUM(I315:I324)</f>
        <v>0</v>
      </c>
      <c r="J325" s="76">
        <f>SUM(J315:J324)</f>
        <v>0</v>
      </c>
      <c r="K325" s="302">
        <f>SUM(K316:K324)</f>
        <v>0</v>
      </c>
      <c r="L325" s="124" t="s">
        <v>9</v>
      </c>
      <c r="M325" s="53">
        <f>M316</f>
        <v>0</v>
      </c>
      <c r="N325" s="95" t="e">
        <f>O325/M325</f>
        <v>#DIV/0!</v>
      </c>
      <c r="O325" s="31">
        <f>SUM(O315:O324)</f>
        <v>0</v>
      </c>
      <c r="P325" s="107" t="s">
        <v>9</v>
      </c>
      <c r="Q325" s="178">
        <f>Q316</f>
        <v>0</v>
      </c>
      <c r="R325" s="95" t="e">
        <f>S325/Q325</f>
        <v>#DIV/0!</v>
      </c>
      <c r="S325" s="139">
        <f>SUM(S315:S324)</f>
        <v>0</v>
      </c>
      <c r="T325" s="49">
        <f>T316</f>
        <v>0</v>
      </c>
      <c r="U325" s="397">
        <f>U316</f>
        <v>0</v>
      </c>
      <c r="V325" s="95" t="e">
        <f>W325/U325</f>
        <v>#DIV/0!</v>
      </c>
      <c r="W325" s="77">
        <f>SUM(W315:W324)</f>
        <v>0</v>
      </c>
      <c r="X325" s="177">
        <f>X316</f>
        <v>0</v>
      </c>
      <c r="Y325" s="398">
        <f>Y316</f>
        <v>0</v>
      </c>
      <c r="Z325" s="188" t="e">
        <f>AA325/Y325</f>
        <v>#DIV/0!</v>
      </c>
      <c r="AA325" s="139">
        <f>SUM(AA315:AA324)</f>
        <v>0</v>
      </c>
      <c r="AB325" s="177">
        <f>AB316</f>
        <v>0</v>
      </c>
      <c r="AC325" s="398">
        <f>AC316</f>
        <v>0</v>
      </c>
      <c r="AD325" s="188" t="e">
        <f>AE325/AC325</f>
        <v>#DIV/0!</v>
      </c>
      <c r="AE325" s="139">
        <f>SUM(AE315:AE324)</f>
        <v>0</v>
      </c>
    </row>
    <row r="326" spans="1:31" ht="12">
      <c r="A326" s="96"/>
      <c r="B326" s="86"/>
      <c r="C326" s="86" t="s">
        <v>10</v>
      </c>
      <c r="D326" s="86"/>
      <c r="E326" s="86"/>
      <c r="F326" s="86"/>
      <c r="G326" s="86"/>
      <c r="H326" s="300"/>
      <c r="I326" s="76"/>
      <c r="J326" s="76"/>
      <c r="K326" s="302"/>
      <c r="L326" s="124"/>
      <c r="M326" s="53"/>
      <c r="N326" s="76"/>
      <c r="O326" s="31"/>
      <c r="P326" s="107"/>
      <c r="Q326" s="178"/>
      <c r="R326" s="138"/>
      <c r="S326" s="139"/>
      <c r="T326" s="140"/>
      <c r="U326" s="178"/>
      <c r="V326" s="141"/>
      <c r="W326" s="34"/>
      <c r="X326" s="177"/>
      <c r="Y326" s="178"/>
      <c r="Z326" s="141"/>
      <c r="AA326" s="34"/>
      <c r="AB326" s="177"/>
      <c r="AC326" s="178"/>
      <c r="AD326" s="141"/>
      <c r="AE326" s="34"/>
    </row>
    <row r="327" spans="1:31" ht="12">
      <c r="A327" s="96" t="s">
        <v>378</v>
      </c>
      <c r="B327" s="86"/>
      <c r="C327" s="86"/>
      <c r="D327" s="86" t="s">
        <v>17</v>
      </c>
      <c r="E327" s="86"/>
      <c r="F327" s="86"/>
      <c r="G327" s="86"/>
      <c r="H327" s="300"/>
      <c r="I327" s="76"/>
      <c r="J327" s="76"/>
      <c r="K327" s="302"/>
      <c r="L327" s="124"/>
      <c r="M327" s="53"/>
      <c r="N327" s="76"/>
      <c r="O327" s="31"/>
      <c r="P327" s="107"/>
      <c r="Q327" s="178"/>
      <c r="R327" s="138"/>
      <c r="S327" s="139"/>
      <c r="T327" s="140"/>
      <c r="U327" s="178"/>
      <c r="V327" s="88"/>
      <c r="W327" s="34"/>
      <c r="X327" s="177"/>
      <c r="Y327" s="178"/>
      <c r="Z327" s="88"/>
      <c r="AA327" s="34"/>
      <c r="AB327" s="177"/>
      <c r="AC327" s="178"/>
      <c r="AD327" s="88"/>
      <c r="AE327" s="34"/>
    </row>
    <row r="328" spans="1:31" ht="12">
      <c r="A328" s="96" t="s">
        <v>379</v>
      </c>
      <c r="B328" s="86"/>
      <c r="C328" s="86"/>
      <c r="D328" s="86" t="s">
        <v>18</v>
      </c>
      <c r="E328" s="86"/>
      <c r="F328" s="86"/>
      <c r="G328" s="86"/>
      <c r="H328" s="300"/>
      <c r="I328" s="76"/>
      <c r="J328" s="76"/>
      <c r="K328" s="302"/>
      <c r="L328" s="124"/>
      <c r="M328" s="53"/>
      <c r="N328" s="95"/>
      <c r="O328" s="31"/>
      <c r="P328" s="107"/>
      <c r="Q328" s="178"/>
      <c r="R328" s="188"/>
      <c r="S328" s="139"/>
      <c r="T328" s="140"/>
      <c r="U328" s="398"/>
      <c r="V328" s="188"/>
      <c r="W328" s="139"/>
      <c r="X328" s="177"/>
      <c r="Y328" s="398"/>
      <c r="Z328" s="188"/>
      <c r="AA328" s="139"/>
      <c r="AB328" s="177"/>
      <c r="AC328" s="398"/>
      <c r="AD328" s="188"/>
      <c r="AE328" s="139"/>
    </row>
    <row r="329" spans="1:31" ht="12">
      <c r="A329" s="96"/>
      <c r="B329" s="86"/>
      <c r="C329" s="86" t="s">
        <v>15</v>
      </c>
      <c r="D329" s="86"/>
      <c r="E329" s="86"/>
      <c r="F329" s="86"/>
      <c r="G329" s="86"/>
      <c r="H329" s="300"/>
      <c r="I329" s="76"/>
      <c r="J329" s="76"/>
      <c r="K329" s="302"/>
      <c r="L329" s="124"/>
      <c r="M329" s="53"/>
      <c r="N329" s="76"/>
      <c r="O329" s="31"/>
      <c r="P329" s="107"/>
      <c r="Q329" s="178"/>
      <c r="R329" s="138"/>
      <c r="S329" s="139"/>
      <c r="T329" s="140"/>
      <c r="U329" s="178"/>
      <c r="V329" s="88"/>
      <c r="W329" s="34"/>
      <c r="X329" s="177"/>
      <c r="Y329" s="178"/>
      <c r="Z329" s="88"/>
      <c r="AA329" s="34"/>
      <c r="AB329" s="177"/>
      <c r="AC329" s="178"/>
      <c r="AD329" s="88"/>
      <c r="AE329" s="34"/>
    </row>
    <row r="330" spans="1:31" ht="12">
      <c r="A330" s="96" t="s">
        <v>380</v>
      </c>
      <c r="B330" s="86"/>
      <c r="C330" s="86"/>
      <c r="D330" s="86" t="s">
        <v>17</v>
      </c>
      <c r="E330" s="86"/>
      <c r="F330" s="86"/>
      <c r="G330" s="86"/>
      <c r="H330" s="300"/>
      <c r="I330" s="76"/>
      <c r="J330" s="76"/>
      <c r="K330" s="302"/>
      <c r="L330" s="124"/>
      <c r="M330" s="53"/>
      <c r="N330" s="76"/>
      <c r="O330" s="31"/>
      <c r="P330" s="107"/>
      <c r="Q330" s="178"/>
      <c r="R330" s="138"/>
      <c r="S330" s="139"/>
      <c r="T330" s="140"/>
      <c r="U330" s="178"/>
      <c r="V330" s="88"/>
      <c r="W330" s="34"/>
      <c r="X330" s="177"/>
      <c r="Y330" s="178"/>
      <c r="Z330" s="88"/>
      <c r="AA330" s="34"/>
      <c r="AB330" s="177"/>
      <c r="AC330" s="178"/>
      <c r="AD330" s="88"/>
      <c r="AE330" s="34"/>
    </row>
    <row r="331" spans="1:31" ht="12">
      <c r="A331" s="96" t="s">
        <v>381</v>
      </c>
      <c r="B331" s="86"/>
      <c r="C331" s="86"/>
      <c r="D331" s="86" t="s">
        <v>19</v>
      </c>
      <c r="E331" s="86"/>
      <c r="F331" s="86"/>
      <c r="G331" s="86"/>
      <c r="H331" s="303"/>
      <c r="I331" s="76"/>
      <c r="J331" s="76"/>
      <c r="K331" s="302"/>
      <c r="L331" s="124"/>
      <c r="M331" s="53"/>
      <c r="N331" s="76"/>
      <c r="O331" s="31"/>
      <c r="P331" s="107"/>
      <c r="Q331" s="178"/>
      <c r="R331" s="138"/>
      <c r="S331" s="139"/>
      <c r="T331" s="140"/>
      <c r="U331" s="178"/>
      <c r="V331" s="88"/>
      <c r="W331" s="34"/>
      <c r="X331" s="177"/>
      <c r="Y331" s="178"/>
      <c r="Z331" s="88"/>
      <c r="AA331" s="34"/>
      <c r="AB331" s="177"/>
      <c r="AC331" s="178"/>
      <c r="AD331" s="88"/>
      <c r="AE331" s="34"/>
    </row>
    <row r="332" spans="1:31" ht="12">
      <c r="A332" s="96"/>
      <c r="B332" s="86"/>
      <c r="C332" s="86" t="s">
        <v>20</v>
      </c>
      <c r="D332" s="86"/>
      <c r="E332" s="86"/>
      <c r="F332" s="86"/>
      <c r="G332" s="86"/>
      <c r="H332" s="300">
        <f>SUM(H326:H331)</f>
        <v>0</v>
      </c>
      <c r="I332" s="76">
        <f>SUM(I326:I331)</f>
        <v>0</v>
      </c>
      <c r="J332" s="76">
        <f>SUM(J326:J331)</f>
        <v>0</v>
      </c>
      <c r="K332" s="302">
        <f>SUM(K327:K331)</f>
        <v>0</v>
      </c>
      <c r="L332" s="124" t="s">
        <v>9</v>
      </c>
      <c r="M332" s="53">
        <f>M328</f>
        <v>0</v>
      </c>
      <c r="N332" s="95" t="e">
        <f>O332/M332</f>
        <v>#DIV/0!</v>
      </c>
      <c r="O332" s="31">
        <f>SUM(O326:O331)</f>
        <v>0</v>
      </c>
      <c r="P332" s="107" t="s">
        <v>9</v>
      </c>
      <c r="Q332" s="178">
        <f>Q328</f>
        <v>0</v>
      </c>
      <c r="R332" s="95" t="e">
        <f>S332/Q332</f>
        <v>#DIV/0!</v>
      </c>
      <c r="S332" s="139">
        <f>SUM(S326:S331)</f>
        <v>0</v>
      </c>
      <c r="T332" s="140">
        <f>T328</f>
        <v>0</v>
      </c>
      <c r="U332" s="398">
        <f>U328</f>
        <v>0</v>
      </c>
      <c r="V332" s="188" t="e">
        <f>W332/U332</f>
        <v>#DIV/0!</v>
      </c>
      <c r="W332" s="139">
        <f>SUM(W326:W331)</f>
        <v>0</v>
      </c>
      <c r="X332" s="177">
        <f>X328</f>
        <v>0</v>
      </c>
      <c r="Y332" s="398">
        <f>Y328</f>
        <v>0</v>
      </c>
      <c r="Z332" s="188" t="e">
        <f>AA332/Y332</f>
        <v>#DIV/0!</v>
      </c>
      <c r="AA332" s="139">
        <f>SUM(AA326:AA331)</f>
        <v>0</v>
      </c>
      <c r="AB332" s="177">
        <f>AB328</f>
        <v>0</v>
      </c>
      <c r="AC332" s="398">
        <f>AC328</f>
        <v>0</v>
      </c>
      <c r="AD332" s="188" t="e">
        <f>AE332/AC332</f>
        <v>#DIV/0!</v>
      </c>
      <c r="AE332" s="139">
        <f>SUM(AE326:AE331)</f>
        <v>0</v>
      </c>
    </row>
    <row r="333" spans="1:31" ht="12">
      <c r="A333" s="96"/>
      <c r="B333" s="86" t="s">
        <v>209</v>
      </c>
      <c r="C333" s="86"/>
      <c r="D333" s="86"/>
      <c r="E333" s="86"/>
      <c r="F333" s="86"/>
      <c r="G333" s="86"/>
      <c r="H333" s="300">
        <f>H325+H332+H314</f>
        <v>5000</v>
      </c>
      <c r="I333" s="76">
        <f>I325+I332+I314</f>
        <v>3000</v>
      </c>
      <c r="J333" s="76">
        <f>J325+J332+J314</f>
        <v>0</v>
      </c>
      <c r="K333" s="302">
        <f>K325+K332+K314</f>
        <v>8000</v>
      </c>
      <c r="L333" s="124" t="s">
        <v>9</v>
      </c>
      <c r="M333" s="53">
        <f>M325</f>
        <v>0</v>
      </c>
      <c r="N333" s="95" t="e">
        <f>O333/M333</f>
        <v>#DIV/0!</v>
      </c>
      <c r="O333" s="31">
        <f>O325+O332+O314</f>
        <v>8000</v>
      </c>
      <c r="P333" s="107" t="s">
        <v>9</v>
      </c>
      <c r="Q333" s="178">
        <f>Q325</f>
        <v>0</v>
      </c>
      <c r="R333" s="95" t="e">
        <f>S333/Q333</f>
        <v>#DIV/0!</v>
      </c>
      <c r="S333" s="139">
        <f>S325+S332+S314</f>
        <v>8000</v>
      </c>
      <c r="T333" s="140" t="s">
        <v>9</v>
      </c>
      <c r="U333" s="398">
        <f>U325</f>
        <v>0</v>
      </c>
      <c r="V333" s="188" t="e">
        <f>W333/U333</f>
        <v>#DIV/0!</v>
      </c>
      <c r="W333" s="139">
        <f>W325+W332+W314</f>
        <v>8000</v>
      </c>
      <c r="X333" s="177" t="s">
        <v>9</v>
      </c>
      <c r="Y333" s="398">
        <f>Y325</f>
        <v>0</v>
      </c>
      <c r="Z333" s="188" t="e">
        <f>AA333/Y333</f>
        <v>#DIV/0!</v>
      </c>
      <c r="AA333" s="139">
        <f>AA325+AA332+AA314</f>
        <v>8000</v>
      </c>
      <c r="AB333" s="177" t="s">
        <v>9</v>
      </c>
      <c r="AC333" s="398">
        <f>AC325</f>
        <v>0</v>
      </c>
      <c r="AD333" s="188" t="e">
        <f>AE333/AC333</f>
        <v>#DIV/0!</v>
      </c>
      <c r="AE333" s="139">
        <f>AE325+AE332+AE314</f>
        <v>8000</v>
      </c>
    </row>
    <row r="334" spans="1:31" ht="12">
      <c r="A334" s="96"/>
      <c r="B334" s="15"/>
      <c r="C334" s="15"/>
      <c r="D334" s="15"/>
      <c r="E334" s="15"/>
      <c r="F334" s="15"/>
      <c r="G334" s="15"/>
      <c r="H334" s="300"/>
      <c r="I334" s="76"/>
      <c r="J334" s="76"/>
      <c r="K334" s="302"/>
      <c r="L334" s="124"/>
      <c r="M334" s="53"/>
      <c r="N334" s="76"/>
      <c r="O334" s="31"/>
      <c r="P334" s="78"/>
      <c r="Q334" s="53"/>
      <c r="R334" s="76"/>
      <c r="S334" s="77"/>
      <c r="T334" s="140"/>
      <c r="U334" s="178"/>
      <c r="V334" s="138"/>
      <c r="W334" s="139"/>
      <c r="X334" s="177"/>
      <c r="Y334" s="178"/>
      <c r="Z334" s="138"/>
      <c r="AA334" s="139"/>
      <c r="AB334" s="177"/>
      <c r="AC334" s="178"/>
      <c r="AD334" s="138"/>
      <c r="AE334" s="139"/>
    </row>
    <row r="335" spans="1:31" ht="12">
      <c r="A335" s="85" t="s">
        <v>382</v>
      </c>
      <c r="B335" s="86" t="s">
        <v>210</v>
      </c>
      <c r="C335" s="86"/>
      <c r="D335" s="86"/>
      <c r="E335" s="86"/>
      <c r="F335" s="86"/>
      <c r="G335" s="86"/>
      <c r="H335" s="195"/>
      <c r="I335" s="138"/>
      <c r="J335" s="138"/>
      <c r="K335" s="309"/>
      <c r="L335" s="257"/>
      <c r="M335" s="178"/>
      <c r="N335" s="76"/>
      <c r="O335" s="43"/>
      <c r="P335" s="107"/>
      <c r="Q335" s="178"/>
      <c r="R335" s="76"/>
      <c r="S335" s="139"/>
      <c r="T335" s="140"/>
      <c r="U335" s="97"/>
      <c r="V335" s="138"/>
      <c r="W335" s="34"/>
      <c r="X335" s="177"/>
      <c r="Y335" s="97"/>
      <c r="Z335" s="138"/>
      <c r="AA335" s="34"/>
      <c r="AB335" s="177"/>
      <c r="AC335" s="97"/>
      <c r="AD335" s="138"/>
      <c r="AE335" s="34"/>
    </row>
    <row r="336" spans="1:31" ht="12">
      <c r="A336" s="85" t="s">
        <v>383</v>
      </c>
      <c r="B336" s="86"/>
      <c r="C336" s="86" t="s">
        <v>30</v>
      </c>
      <c r="D336" s="86"/>
      <c r="E336" s="86"/>
      <c r="F336" s="86"/>
      <c r="G336" s="86"/>
      <c r="H336" s="300">
        <v>500</v>
      </c>
      <c r="I336" s="76">
        <v>500</v>
      </c>
      <c r="J336" s="76"/>
      <c r="K336" s="302">
        <f>H336+I336+J336</f>
        <v>1000</v>
      </c>
      <c r="L336" s="124" t="s">
        <v>139</v>
      </c>
      <c r="M336" s="53">
        <v>1</v>
      </c>
      <c r="N336" s="76"/>
      <c r="O336" s="31">
        <f>K336</f>
        <v>1000</v>
      </c>
      <c r="P336" s="107" t="s">
        <v>139</v>
      </c>
      <c r="Q336" s="178">
        <v>1</v>
      </c>
      <c r="R336" s="76"/>
      <c r="S336" s="139">
        <f>O336</f>
        <v>1000</v>
      </c>
      <c r="T336" s="140" t="str">
        <f>P336</f>
        <v>lot</v>
      </c>
      <c r="U336" s="178">
        <f>Q336</f>
        <v>1</v>
      </c>
      <c r="V336" s="138"/>
      <c r="W336" s="34">
        <f>S336</f>
        <v>1000</v>
      </c>
      <c r="X336" s="177" t="str">
        <f>T336</f>
        <v>lot</v>
      </c>
      <c r="Y336" s="178">
        <f>U336</f>
        <v>1</v>
      </c>
      <c r="Z336" s="138"/>
      <c r="AA336" s="34">
        <f>W336</f>
        <v>1000</v>
      </c>
      <c r="AB336" s="177" t="str">
        <f>X336</f>
        <v>lot</v>
      </c>
      <c r="AC336" s="178">
        <f>Y336</f>
        <v>1</v>
      </c>
      <c r="AD336" s="138"/>
      <c r="AE336" s="34">
        <f>AA336</f>
        <v>1000</v>
      </c>
    </row>
    <row r="337" spans="1:31" ht="12">
      <c r="A337" s="96"/>
      <c r="B337" s="86"/>
      <c r="C337" s="86" t="s">
        <v>10</v>
      </c>
      <c r="D337" s="86"/>
      <c r="E337" s="86"/>
      <c r="F337" s="86"/>
      <c r="G337" s="86"/>
      <c r="H337" s="300"/>
      <c r="I337" s="76"/>
      <c r="J337" s="76"/>
      <c r="K337" s="302"/>
      <c r="L337" s="124"/>
      <c r="M337" s="53"/>
      <c r="N337" s="76"/>
      <c r="O337" s="31"/>
      <c r="P337" s="107"/>
      <c r="Q337" s="178"/>
      <c r="R337" s="138"/>
      <c r="S337" s="139"/>
      <c r="T337" s="49"/>
      <c r="U337" s="53"/>
      <c r="V337" s="76"/>
      <c r="W337" s="77"/>
      <c r="X337" s="177"/>
      <c r="Y337" s="178"/>
      <c r="Z337" s="138"/>
      <c r="AA337" s="139"/>
      <c r="AB337" s="177"/>
      <c r="AC337" s="178"/>
      <c r="AD337" s="138"/>
      <c r="AE337" s="139"/>
    </row>
    <row r="338" spans="1:31" ht="12">
      <c r="A338" s="96" t="s">
        <v>384</v>
      </c>
      <c r="B338" s="86"/>
      <c r="C338" s="86"/>
      <c r="D338" s="86" t="s">
        <v>11</v>
      </c>
      <c r="E338" s="86"/>
      <c r="F338" s="86"/>
      <c r="G338" s="86"/>
      <c r="H338" s="300"/>
      <c r="I338" s="76"/>
      <c r="J338" s="76"/>
      <c r="K338" s="302">
        <v>560</v>
      </c>
      <c r="L338" s="124" t="s">
        <v>140</v>
      </c>
      <c r="M338" s="53">
        <v>20</v>
      </c>
      <c r="N338" s="95">
        <f>O338/M338</f>
        <v>28</v>
      </c>
      <c r="O338" s="31">
        <f>K338</f>
        <v>560</v>
      </c>
      <c r="P338" s="107" t="s">
        <v>140</v>
      </c>
      <c r="Q338" s="178">
        <v>20</v>
      </c>
      <c r="R338" s="95">
        <f>S338/Q338</f>
        <v>28</v>
      </c>
      <c r="S338" s="139">
        <f>O338</f>
        <v>560</v>
      </c>
      <c r="T338" s="49" t="s">
        <v>9</v>
      </c>
      <c r="U338" s="397">
        <f>Q338</f>
        <v>20</v>
      </c>
      <c r="V338" s="188">
        <f>R338</f>
        <v>28</v>
      </c>
      <c r="W338" s="139">
        <f>U338*V338</f>
        <v>560</v>
      </c>
      <c r="X338" s="177" t="s">
        <v>9</v>
      </c>
      <c r="Y338" s="398">
        <f>U338</f>
        <v>20</v>
      </c>
      <c r="Z338" s="188">
        <f>V338</f>
        <v>28</v>
      </c>
      <c r="AA338" s="139">
        <f>Y338*Z338</f>
        <v>560</v>
      </c>
      <c r="AB338" s="177" t="s">
        <v>9</v>
      </c>
      <c r="AC338" s="398">
        <f>Y338</f>
        <v>20</v>
      </c>
      <c r="AD338" s="188">
        <f>Z338</f>
        <v>28</v>
      </c>
      <c r="AE338" s="139">
        <f>AC338*AD338</f>
        <v>560</v>
      </c>
    </row>
    <row r="339" spans="1:31" ht="12">
      <c r="A339" s="96" t="s">
        <v>385</v>
      </c>
      <c r="B339" s="86"/>
      <c r="C339" s="86"/>
      <c r="D339" s="86" t="s">
        <v>12</v>
      </c>
      <c r="E339" s="86"/>
      <c r="F339" s="86"/>
      <c r="G339" s="86"/>
      <c r="H339" s="300"/>
      <c r="I339" s="76"/>
      <c r="J339" s="76"/>
      <c r="K339" s="302"/>
      <c r="L339" s="124"/>
      <c r="M339" s="53"/>
      <c r="N339" s="95"/>
      <c r="O339" s="31"/>
      <c r="P339" s="107"/>
      <c r="Q339" s="178"/>
      <c r="R339" s="188"/>
      <c r="S339" s="139"/>
      <c r="T339" s="49"/>
      <c r="U339" s="397"/>
      <c r="V339" s="138"/>
      <c r="W339" s="139"/>
      <c r="X339" s="177"/>
      <c r="Y339" s="398"/>
      <c r="Z339" s="138"/>
      <c r="AA339" s="139"/>
      <c r="AB339" s="177"/>
      <c r="AC339" s="398"/>
      <c r="AD339" s="138"/>
      <c r="AE339" s="139"/>
    </row>
    <row r="340" spans="1:31" ht="12">
      <c r="A340" s="96" t="s">
        <v>386</v>
      </c>
      <c r="B340" s="86"/>
      <c r="C340" s="86"/>
      <c r="D340" s="86" t="s">
        <v>13</v>
      </c>
      <c r="E340" s="86"/>
      <c r="F340" s="86"/>
      <c r="G340" s="86"/>
      <c r="H340" s="303"/>
      <c r="I340" s="73"/>
      <c r="J340" s="73"/>
      <c r="K340" s="304"/>
      <c r="L340" s="124"/>
      <c r="M340" s="53"/>
      <c r="N340" s="95"/>
      <c r="O340" s="31"/>
      <c r="P340" s="107"/>
      <c r="Q340" s="178"/>
      <c r="R340" s="95"/>
      <c r="S340" s="139"/>
      <c r="T340" s="49"/>
      <c r="U340" s="53"/>
      <c r="V340" s="188"/>
      <c r="W340" s="139"/>
      <c r="X340" s="177"/>
      <c r="Y340" s="178"/>
      <c r="Z340" s="188"/>
      <c r="AA340" s="139"/>
      <c r="AB340" s="177"/>
      <c r="AC340" s="178"/>
      <c r="AD340" s="188"/>
      <c r="AE340" s="139"/>
    </row>
    <row r="341" spans="1:31" ht="12">
      <c r="A341" s="96" t="s">
        <v>387</v>
      </c>
      <c r="B341" s="86"/>
      <c r="C341" s="86"/>
      <c r="D341" s="86" t="s">
        <v>14</v>
      </c>
      <c r="E341" s="86"/>
      <c r="F341" s="86"/>
      <c r="G341" s="86"/>
      <c r="H341" s="300"/>
      <c r="I341" s="76"/>
      <c r="J341" s="76"/>
      <c r="K341" s="302"/>
      <c r="L341" s="124"/>
      <c r="M341" s="53"/>
      <c r="N341" s="95"/>
      <c r="O341" s="31"/>
      <c r="P341" s="107"/>
      <c r="Q341" s="178"/>
      <c r="R341" s="188"/>
      <c r="S341" s="139"/>
      <c r="T341" s="49"/>
      <c r="U341" s="397"/>
      <c r="V341" s="95"/>
      <c r="W341" s="139"/>
      <c r="X341" s="177"/>
      <c r="Y341" s="398"/>
      <c r="Z341" s="188"/>
      <c r="AA341" s="139"/>
      <c r="AB341" s="177"/>
      <c r="AC341" s="398"/>
      <c r="AD341" s="188"/>
      <c r="AE341" s="139"/>
    </row>
    <row r="342" spans="1:31" ht="12">
      <c r="A342" s="96"/>
      <c r="B342" s="86"/>
      <c r="C342" s="86" t="s">
        <v>15</v>
      </c>
      <c r="D342" s="86"/>
      <c r="E342" s="86"/>
      <c r="F342" s="86"/>
      <c r="G342" s="86"/>
      <c r="H342" s="300"/>
      <c r="I342" s="76"/>
      <c r="J342" s="76"/>
      <c r="K342" s="302"/>
      <c r="L342" s="124"/>
      <c r="M342" s="53"/>
      <c r="N342" s="76"/>
      <c r="O342" s="31"/>
      <c r="P342" s="107"/>
      <c r="Q342" s="178"/>
      <c r="R342" s="138"/>
      <c r="S342" s="139"/>
      <c r="T342" s="49"/>
      <c r="U342" s="53"/>
      <c r="V342" s="75"/>
      <c r="W342" s="448"/>
      <c r="X342" s="177"/>
      <c r="Y342" s="178"/>
      <c r="Z342" s="141"/>
      <c r="AA342" s="34"/>
      <c r="AB342" s="177"/>
      <c r="AC342" s="178"/>
      <c r="AD342" s="141"/>
      <c r="AE342" s="34"/>
    </row>
    <row r="343" spans="1:31" ht="12">
      <c r="A343" s="96" t="s">
        <v>388</v>
      </c>
      <c r="B343" s="86"/>
      <c r="C343" s="86"/>
      <c r="D343" s="86" t="s">
        <v>11</v>
      </c>
      <c r="E343" s="86"/>
      <c r="F343" s="86"/>
      <c r="G343" s="86"/>
      <c r="H343" s="300"/>
      <c r="I343" s="76"/>
      <c r="J343" s="76"/>
      <c r="K343" s="302"/>
      <c r="L343" s="124"/>
      <c r="M343" s="53"/>
      <c r="N343" s="76"/>
      <c r="O343" s="31"/>
      <c r="P343" s="107"/>
      <c r="Q343" s="178"/>
      <c r="R343" s="138"/>
      <c r="S343" s="139"/>
      <c r="T343" s="49"/>
      <c r="U343" s="53"/>
      <c r="V343" s="75"/>
      <c r="W343" s="448"/>
      <c r="X343" s="177"/>
      <c r="Y343" s="178"/>
      <c r="Z343" s="141"/>
      <c r="AA343" s="34"/>
      <c r="AB343" s="177"/>
      <c r="AC343" s="178"/>
      <c r="AD343" s="141"/>
      <c r="AE343" s="34"/>
    </row>
    <row r="344" spans="1:31" ht="12">
      <c r="A344" s="96" t="s">
        <v>389</v>
      </c>
      <c r="B344" s="86"/>
      <c r="C344" s="86"/>
      <c r="D344" s="86" t="s">
        <v>12</v>
      </c>
      <c r="E344" s="86"/>
      <c r="F344" s="86"/>
      <c r="G344" s="86"/>
      <c r="H344" s="300"/>
      <c r="I344" s="76"/>
      <c r="J344" s="76"/>
      <c r="K344" s="302"/>
      <c r="L344" s="124"/>
      <c r="M344" s="53"/>
      <c r="N344" s="76"/>
      <c r="O344" s="31"/>
      <c r="P344" s="107"/>
      <c r="Q344" s="178"/>
      <c r="R344" s="138"/>
      <c r="S344" s="139"/>
      <c r="T344" s="49"/>
      <c r="U344" s="53"/>
      <c r="V344" s="84"/>
      <c r="W344" s="448"/>
      <c r="X344" s="177"/>
      <c r="Y344" s="178"/>
      <c r="Z344" s="88"/>
      <c r="AA344" s="34"/>
      <c r="AB344" s="177"/>
      <c r="AC344" s="178"/>
      <c r="AD344" s="88"/>
      <c r="AE344" s="34"/>
    </row>
    <row r="345" spans="1:31" ht="12">
      <c r="A345" s="96" t="s">
        <v>390</v>
      </c>
      <c r="B345" s="86"/>
      <c r="C345" s="86"/>
      <c r="D345" s="86" t="s">
        <v>13</v>
      </c>
      <c r="E345" s="86"/>
      <c r="F345" s="86"/>
      <c r="G345" s="86"/>
      <c r="H345" s="300"/>
      <c r="I345" s="76"/>
      <c r="J345" s="76"/>
      <c r="K345" s="302"/>
      <c r="L345" s="124"/>
      <c r="M345" s="53"/>
      <c r="N345" s="76"/>
      <c r="O345" s="31"/>
      <c r="P345" s="107"/>
      <c r="Q345" s="178"/>
      <c r="R345" s="138"/>
      <c r="S345" s="139"/>
      <c r="T345" s="49"/>
      <c r="U345" s="53"/>
      <c r="V345" s="75"/>
      <c r="W345" s="448"/>
      <c r="X345" s="177"/>
      <c r="Y345" s="178"/>
      <c r="Z345" s="141"/>
      <c r="AA345" s="34"/>
      <c r="AB345" s="177"/>
      <c r="AC345" s="178"/>
      <c r="AD345" s="141"/>
      <c r="AE345" s="34"/>
    </row>
    <row r="346" spans="1:31" ht="12">
      <c r="A346" s="96" t="s">
        <v>391</v>
      </c>
      <c r="B346" s="86"/>
      <c r="C346" s="86"/>
      <c r="D346" s="86" t="s">
        <v>14</v>
      </c>
      <c r="E346" s="86"/>
      <c r="F346" s="86"/>
      <c r="G346" s="86"/>
      <c r="H346" s="300"/>
      <c r="I346" s="76"/>
      <c r="J346" s="76"/>
      <c r="K346" s="302"/>
      <c r="L346" s="124"/>
      <c r="M346" s="53"/>
      <c r="N346" s="76"/>
      <c r="O346" s="31"/>
      <c r="P346" s="107"/>
      <c r="Q346" s="178"/>
      <c r="R346" s="138"/>
      <c r="S346" s="139"/>
      <c r="T346" s="49"/>
      <c r="U346" s="53"/>
      <c r="V346" s="75"/>
      <c r="W346" s="448"/>
      <c r="X346" s="177"/>
      <c r="Y346" s="178"/>
      <c r="Z346" s="141"/>
      <c r="AA346" s="34"/>
      <c r="AB346" s="177"/>
      <c r="AC346" s="178"/>
      <c r="AD346" s="141"/>
      <c r="AE346" s="34"/>
    </row>
    <row r="347" spans="1:31" ht="12">
      <c r="A347" s="96"/>
      <c r="B347" s="86"/>
      <c r="C347" s="86" t="s">
        <v>16</v>
      </c>
      <c r="D347" s="86"/>
      <c r="E347" s="86"/>
      <c r="F347" s="86"/>
      <c r="G347" s="86"/>
      <c r="H347" s="300">
        <f>SUM(H337:H346)</f>
        <v>0</v>
      </c>
      <c r="I347" s="76">
        <f>SUM(I337:I346)</f>
        <v>0</v>
      </c>
      <c r="J347" s="76">
        <f>SUM(J337:J346)</f>
        <v>0</v>
      </c>
      <c r="K347" s="302">
        <f>SUM(K338:K346)</f>
        <v>560</v>
      </c>
      <c r="L347" s="124" t="s">
        <v>140</v>
      </c>
      <c r="M347" s="397">
        <f>M338</f>
        <v>20</v>
      </c>
      <c r="N347" s="95">
        <f>O347/M347</f>
        <v>28</v>
      </c>
      <c r="O347" s="31">
        <f>SUM(O337:O346)</f>
        <v>560</v>
      </c>
      <c r="P347" s="107" t="s">
        <v>140</v>
      </c>
      <c r="Q347" s="398">
        <f>Q338</f>
        <v>20</v>
      </c>
      <c r="R347" s="95">
        <f>S347/Q347</f>
        <v>28</v>
      </c>
      <c r="S347" s="139">
        <f>SUM(S337:S346)</f>
        <v>560</v>
      </c>
      <c r="T347" s="49" t="str">
        <f>T338</f>
        <v>ac</v>
      </c>
      <c r="U347" s="397">
        <f>U338</f>
        <v>20</v>
      </c>
      <c r="V347" s="95">
        <f>W347/U347</f>
        <v>28</v>
      </c>
      <c r="W347" s="77">
        <f>SUM(W337:W346)</f>
        <v>560</v>
      </c>
      <c r="X347" s="177" t="str">
        <f>X338</f>
        <v>ac</v>
      </c>
      <c r="Y347" s="398">
        <f>Y338</f>
        <v>20</v>
      </c>
      <c r="Z347" s="188">
        <f>AA347/Y347</f>
        <v>28</v>
      </c>
      <c r="AA347" s="139">
        <f>SUM(AA337:AA346)</f>
        <v>560</v>
      </c>
      <c r="AB347" s="177" t="str">
        <f>AB338</f>
        <v>ac</v>
      </c>
      <c r="AC347" s="398">
        <f>AC338</f>
        <v>20</v>
      </c>
      <c r="AD347" s="188">
        <f>AE347/AC347</f>
        <v>28</v>
      </c>
      <c r="AE347" s="139">
        <f>SUM(AE337:AE346)</f>
        <v>560</v>
      </c>
    </row>
    <row r="348" spans="1:31" ht="12">
      <c r="A348" s="96"/>
      <c r="B348" s="86"/>
      <c r="C348" s="86" t="s">
        <v>10</v>
      </c>
      <c r="D348" s="86"/>
      <c r="E348" s="86"/>
      <c r="F348" s="86"/>
      <c r="G348" s="86"/>
      <c r="H348" s="300"/>
      <c r="I348" s="76"/>
      <c r="J348" s="76"/>
      <c r="K348" s="302"/>
      <c r="L348" s="124"/>
      <c r="M348" s="397"/>
      <c r="N348" s="76"/>
      <c r="O348" s="31"/>
      <c r="P348" s="107"/>
      <c r="Q348" s="398"/>
      <c r="R348" s="138"/>
      <c r="S348" s="139"/>
      <c r="T348" s="140"/>
      <c r="U348" s="178"/>
      <c r="V348" s="141"/>
      <c r="W348" s="34"/>
      <c r="X348" s="177"/>
      <c r="Y348" s="178"/>
      <c r="Z348" s="141"/>
      <c r="AA348" s="34"/>
      <c r="AB348" s="177"/>
      <c r="AC348" s="178"/>
      <c r="AD348" s="141"/>
      <c r="AE348" s="34"/>
    </row>
    <row r="349" spans="1:31" ht="12">
      <c r="A349" s="96" t="s">
        <v>392</v>
      </c>
      <c r="B349" s="86"/>
      <c r="C349" s="86"/>
      <c r="D349" s="86" t="s">
        <v>17</v>
      </c>
      <c r="E349" s="86"/>
      <c r="F349" s="86"/>
      <c r="G349" s="86"/>
      <c r="H349" s="300"/>
      <c r="I349" s="76"/>
      <c r="J349" s="76"/>
      <c r="K349" s="302"/>
      <c r="L349" s="124"/>
      <c r="M349" s="397"/>
      <c r="N349" s="76"/>
      <c r="O349" s="31"/>
      <c r="P349" s="107"/>
      <c r="Q349" s="398"/>
      <c r="R349" s="138"/>
      <c r="S349" s="139"/>
      <c r="T349" s="140"/>
      <c r="U349" s="178"/>
      <c r="V349" s="88"/>
      <c r="W349" s="34"/>
      <c r="X349" s="177"/>
      <c r="Y349" s="178"/>
      <c r="Z349" s="88"/>
      <c r="AA349" s="34"/>
      <c r="AB349" s="177"/>
      <c r="AC349" s="178"/>
      <c r="AD349" s="88"/>
      <c r="AE349" s="34"/>
    </row>
    <row r="350" spans="1:31" ht="12">
      <c r="A350" s="96" t="s">
        <v>393</v>
      </c>
      <c r="B350" s="86"/>
      <c r="C350" s="86"/>
      <c r="D350" s="86" t="s">
        <v>18</v>
      </c>
      <c r="E350" s="86"/>
      <c r="F350" s="86"/>
      <c r="G350" s="86"/>
      <c r="H350" s="300"/>
      <c r="I350" s="76"/>
      <c r="J350" s="76"/>
      <c r="K350" s="302"/>
      <c r="L350" s="124"/>
      <c r="M350" s="397"/>
      <c r="N350" s="95"/>
      <c r="O350" s="31"/>
      <c r="P350" s="107"/>
      <c r="Q350" s="398"/>
      <c r="R350" s="95"/>
      <c r="S350" s="139"/>
      <c r="T350" s="140"/>
      <c r="U350" s="398"/>
      <c r="V350" s="188"/>
      <c r="W350" s="139"/>
      <c r="X350" s="177"/>
      <c r="Y350" s="398"/>
      <c r="Z350" s="188"/>
      <c r="AA350" s="139"/>
      <c r="AB350" s="177"/>
      <c r="AC350" s="398"/>
      <c r="AD350" s="188"/>
      <c r="AE350" s="139"/>
    </row>
    <row r="351" spans="1:31" ht="12">
      <c r="A351" s="96"/>
      <c r="B351" s="86"/>
      <c r="C351" s="86" t="s">
        <v>15</v>
      </c>
      <c r="D351" s="86"/>
      <c r="E351" s="86"/>
      <c r="F351" s="86"/>
      <c r="G351" s="86"/>
      <c r="H351" s="300"/>
      <c r="I351" s="76"/>
      <c r="J351" s="76"/>
      <c r="K351" s="302"/>
      <c r="L351" s="124"/>
      <c r="M351" s="397"/>
      <c r="N351" s="76"/>
      <c r="O351" s="31"/>
      <c r="P351" s="107"/>
      <c r="Q351" s="398"/>
      <c r="R351" s="138"/>
      <c r="S351" s="139"/>
      <c r="T351" s="140"/>
      <c r="U351" s="178"/>
      <c r="V351" s="88"/>
      <c r="W351" s="34"/>
      <c r="X351" s="177"/>
      <c r="Y351" s="178"/>
      <c r="Z351" s="88"/>
      <c r="AA351" s="34"/>
      <c r="AB351" s="177"/>
      <c r="AC351" s="178"/>
      <c r="AD351" s="88"/>
      <c r="AE351" s="34"/>
    </row>
    <row r="352" spans="1:31" ht="12">
      <c r="A352" s="96" t="s">
        <v>394</v>
      </c>
      <c r="B352" s="86"/>
      <c r="C352" s="86"/>
      <c r="D352" s="86" t="s">
        <v>17</v>
      </c>
      <c r="E352" s="86"/>
      <c r="F352" s="86"/>
      <c r="G352" s="86"/>
      <c r="H352" s="300"/>
      <c r="I352" s="76"/>
      <c r="J352" s="76"/>
      <c r="K352" s="302"/>
      <c r="L352" s="124"/>
      <c r="M352" s="397"/>
      <c r="N352" s="76"/>
      <c r="O352" s="31"/>
      <c r="P352" s="107"/>
      <c r="Q352" s="398"/>
      <c r="R352" s="138"/>
      <c r="S352" s="139"/>
      <c r="T352" s="140"/>
      <c r="U352" s="178"/>
      <c r="V352" s="88"/>
      <c r="W352" s="34"/>
      <c r="X352" s="177"/>
      <c r="Y352" s="178"/>
      <c r="Z352" s="88"/>
      <c r="AA352" s="34"/>
      <c r="AB352" s="177"/>
      <c r="AC352" s="178"/>
      <c r="AD352" s="88"/>
      <c r="AE352" s="34"/>
    </row>
    <row r="353" spans="1:31" ht="12">
      <c r="A353" s="96" t="s">
        <v>395</v>
      </c>
      <c r="B353" s="86"/>
      <c r="C353" s="86"/>
      <c r="D353" s="86" t="s">
        <v>19</v>
      </c>
      <c r="E353" s="86"/>
      <c r="F353" s="86"/>
      <c r="G353" s="86"/>
      <c r="H353" s="303"/>
      <c r="I353" s="76"/>
      <c r="J353" s="76"/>
      <c r="K353" s="302"/>
      <c r="L353" s="124"/>
      <c r="M353" s="397"/>
      <c r="N353" s="76"/>
      <c r="O353" s="31"/>
      <c r="P353" s="107"/>
      <c r="Q353" s="398"/>
      <c r="R353" s="138"/>
      <c r="S353" s="139"/>
      <c r="T353" s="140"/>
      <c r="U353" s="178"/>
      <c r="V353" s="88"/>
      <c r="W353" s="34"/>
      <c r="X353" s="177"/>
      <c r="Y353" s="178"/>
      <c r="Z353" s="88"/>
      <c r="AA353" s="34"/>
      <c r="AB353" s="177"/>
      <c r="AC353" s="178"/>
      <c r="AD353" s="88"/>
      <c r="AE353" s="34"/>
    </row>
    <row r="354" spans="1:31" ht="12">
      <c r="A354" s="96"/>
      <c r="B354" s="86"/>
      <c r="C354" s="86" t="s">
        <v>20</v>
      </c>
      <c r="D354" s="86"/>
      <c r="E354" s="86"/>
      <c r="F354" s="86"/>
      <c r="G354" s="86"/>
      <c r="H354" s="300">
        <f>SUM(H348:H353)</f>
        <v>0</v>
      </c>
      <c r="I354" s="76">
        <f>SUM(I348:I353)</f>
        <v>0</v>
      </c>
      <c r="J354" s="76">
        <f>SUM(J348:J353)</f>
        <v>0</v>
      </c>
      <c r="K354" s="302">
        <f>SUM(K349:K353)</f>
        <v>0</v>
      </c>
      <c r="L354" s="124" t="s">
        <v>140</v>
      </c>
      <c r="M354" s="397">
        <f>M350</f>
        <v>0</v>
      </c>
      <c r="N354" s="95" t="e">
        <f>O354/M354</f>
        <v>#DIV/0!</v>
      </c>
      <c r="O354" s="31">
        <f>SUM(O348:O353)</f>
        <v>0</v>
      </c>
      <c r="P354" s="107" t="s">
        <v>140</v>
      </c>
      <c r="Q354" s="398">
        <f>Q350</f>
        <v>0</v>
      </c>
      <c r="R354" s="95" t="e">
        <f>S354/Q354</f>
        <v>#DIV/0!</v>
      </c>
      <c r="S354" s="139">
        <f>SUM(S348:S353)</f>
        <v>0</v>
      </c>
      <c r="T354" s="140">
        <f>T350</f>
        <v>0</v>
      </c>
      <c r="U354" s="398">
        <f>U350</f>
        <v>0</v>
      </c>
      <c r="V354" s="188" t="e">
        <f>W354/U354</f>
        <v>#DIV/0!</v>
      </c>
      <c r="W354" s="139">
        <f>SUM(W348:W353)</f>
        <v>0</v>
      </c>
      <c r="X354" s="177">
        <f>X350</f>
        <v>0</v>
      </c>
      <c r="Y354" s="398">
        <f>Y350</f>
        <v>0</v>
      </c>
      <c r="Z354" s="188" t="e">
        <f>AA354/Y354</f>
        <v>#DIV/0!</v>
      </c>
      <c r="AA354" s="139">
        <f>SUM(AA348:AA353)</f>
        <v>0</v>
      </c>
      <c r="AB354" s="177">
        <f>AB350</f>
        <v>0</v>
      </c>
      <c r="AC354" s="398">
        <f>AC350</f>
        <v>0</v>
      </c>
      <c r="AD354" s="188" t="e">
        <f>AE354/AC354</f>
        <v>#DIV/0!</v>
      </c>
      <c r="AE354" s="139">
        <f>SUM(AE348:AE353)</f>
        <v>0</v>
      </c>
    </row>
    <row r="355" spans="1:31" ht="12">
      <c r="A355" s="96"/>
      <c r="B355" s="86" t="s">
        <v>211</v>
      </c>
      <c r="C355" s="86"/>
      <c r="D355" s="86"/>
      <c r="E355" s="86"/>
      <c r="F355" s="86"/>
      <c r="G355" s="86"/>
      <c r="H355" s="300">
        <f>H347+H354+H336</f>
        <v>500</v>
      </c>
      <c r="I355" s="76">
        <f>I347+I354+I336</f>
        <v>500</v>
      </c>
      <c r="J355" s="76">
        <f>J347+J354+J336</f>
        <v>0</v>
      </c>
      <c r="K355" s="302">
        <f>K347+K354+K336</f>
        <v>1560</v>
      </c>
      <c r="L355" s="124" t="s">
        <v>140</v>
      </c>
      <c r="M355" s="397">
        <f>M347</f>
        <v>20</v>
      </c>
      <c r="N355" s="95">
        <f>O355/M355</f>
        <v>78</v>
      </c>
      <c r="O355" s="31">
        <f>O347+O354+O336</f>
        <v>1560</v>
      </c>
      <c r="P355" s="107" t="s">
        <v>140</v>
      </c>
      <c r="Q355" s="398">
        <f>Q347</f>
        <v>20</v>
      </c>
      <c r="R355" s="95">
        <f>S355/Q355</f>
        <v>78</v>
      </c>
      <c r="S355" s="139">
        <f>S347+S354+S336</f>
        <v>1560</v>
      </c>
      <c r="T355" s="140" t="s">
        <v>9</v>
      </c>
      <c r="U355" s="398">
        <f>U347</f>
        <v>20</v>
      </c>
      <c r="V355" s="188">
        <f>W355/U355</f>
        <v>78</v>
      </c>
      <c r="W355" s="139">
        <f>W347+W354+W336</f>
        <v>1560</v>
      </c>
      <c r="X355" s="177" t="s">
        <v>9</v>
      </c>
      <c r="Y355" s="398">
        <f>Y347</f>
        <v>20</v>
      </c>
      <c r="Z355" s="188">
        <f>AA355/Y355</f>
        <v>78</v>
      </c>
      <c r="AA355" s="139">
        <f>AA347+AA354+AA336</f>
        <v>1560</v>
      </c>
      <c r="AB355" s="177" t="s">
        <v>9</v>
      </c>
      <c r="AC355" s="398">
        <f>AC347</f>
        <v>20</v>
      </c>
      <c r="AD355" s="188">
        <f>AE355/AC355</f>
        <v>78</v>
      </c>
      <c r="AE355" s="139">
        <f>AE347+AE354+AE336</f>
        <v>1560</v>
      </c>
    </row>
    <row r="356" spans="1:31" ht="12">
      <c r="A356" s="96"/>
      <c r="B356" s="15"/>
      <c r="C356" s="15"/>
      <c r="D356" s="15"/>
      <c r="E356" s="15"/>
      <c r="F356" s="15"/>
      <c r="G356" s="15"/>
      <c r="H356" s="300"/>
      <c r="I356" s="76"/>
      <c r="J356" s="76"/>
      <c r="K356" s="302"/>
      <c r="L356" s="124"/>
      <c r="M356" s="397"/>
      <c r="N356" s="76"/>
      <c r="O356" s="31"/>
      <c r="P356" s="78"/>
      <c r="Q356" s="397"/>
      <c r="R356" s="76"/>
      <c r="S356" s="77"/>
      <c r="T356" s="140"/>
      <c r="U356" s="178"/>
      <c r="V356" s="138"/>
      <c r="W356" s="139"/>
      <c r="X356" s="231"/>
      <c r="Y356" s="232"/>
      <c r="Z356" s="233"/>
      <c r="AA356" s="338"/>
      <c r="AB356" s="231"/>
      <c r="AC356" s="232"/>
      <c r="AD356" s="233"/>
      <c r="AE356" s="338"/>
    </row>
    <row r="357" spans="1:31" ht="12">
      <c r="A357" s="85" t="s">
        <v>396</v>
      </c>
      <c r="B357" s="86" t="s">
        <v>212</v>
      </c>
      <c r="C357" s="86"/>
      <c r="D357" s="86"/>
      <c r="E357" s="86"/>
      <c r="F357" s="86"/>
      <c r="G357" s="86"/>
      <c r="H357" s="195"/>
      <c r="I357" s="138"/>
      <c r="J357" s="138"/>
      <c r="K357" s="309"/>
      <c r="L357" s="257"/>
      <c r="M357" s="178"/>
      <c r="N357" s="76"/>
      <c r="O357" s="43"/>
      <c r="P357" s="107"/>
      <c r="Q357" s="178"/>
      <c r="R357" s="76"/>
      <c r="S357" s="139"/>
      <c r="T357" s="140"/>
      <c r="U357" s="97"/>
      <c r="V357" s="138"/>
      <c r="W357" s="34"/>
      <c r="X357" s="231"/>
      <c r="Y357" s="235"/>
      <c r="Z357" s="233"/>
      <c r="AA357" s="236"/>
      <c r="AB357" s="231"/>
      <c r="AC357" s="235"/>
      <c r="AD357" s="233"/>
      <c r="AE357" s="236"/>
    </row>
    <row r="358" spans="1:31" ht="12">
      <c r="A358" s="85" t="s">
        <v>397</v>
      </c>
      <c r="B358" s="86"/>
      <c r="C358" s="86" t="s">
        <v>30</v>
      </c>
      <c r="D358" s="86"/>
      <c r="E358" s="86"/>
      <c r="F358" s="86"/>
      <c r="G358" s="86"/>
      <c r="H358" s="300">
        <v>3500</v>
      </c>
      <c r="I358" s="76">
        <v>13500</v>
      </c>
      <c r="J358" s="76"/>
      <c r="K358" s="302">
        <f>H358+I358+J358</f>
        <v>17000</v>
      </c>
      <c r="L358" s="124" t="s">
        <v>139</v>
      </c>
      <c r="M358" s="53">
        <v>1</v>
      </c>
      <c r="N358" s="76"/>
      <c r="O358" s="31">
        <f>K358</f>
        <v>17000</v>
      </c>
      <c r="P358" s="107" t="s">
        <v>139</v>
      </c>
      <c r="Q358" s="178">
        <v>1</v>
      </c>
      <c r="R358" s="138"/>
      <c r="S358" s="139">
        <f>O358</f>
        <v>17000</v>
      </c>
      <c r="T358" s="140" t="str">
        <f>P358</f>
        <v>lot</v>
      </c>
      <c r="U358" s="178">
        <f>Q358</f>
        <v>1</v>
      </c>
      <c r="V358" s="138"/>
      <c r="W358" s="34">
        <f>S358</f>
        <v>17000</v>
      </c>
      <c r="X358" s="177" t="str">
        <f>T358</f>
        <v>lot</v>
      </c>
      <c r="Y358" s="178">
        <f>U358</f>
        <v>1</v>
      </c>
      <c r="Z358" s="138"/>
      <c r="AA358" s="34">
        <f>W358</f>
        <v>17000</v>
      </c>
      <c r="AB358" s="177" t="str">
        <f>X358</f>
        <v>lot</v>
      </c>
      <c r="AC358" s="178">
        <f>Y358</f>
        <v>1</v>
      </c>
      <c r="AD358" s="138"/>
      <c r="AE358" s="34">
        <f>AA358</f>
        <v>17000</v>
      </c>
    </row>
    <row r="359" spans="1:31" ht="12">
      <c r="A359" s="96"/>
      <c r="B359" s="86"/>
      <c r="C359" s="86" t="s">
        <v>10</v>
      </c>
      <c r="D359" s="86"/>
      <c r="E359" s="86"/>
      <c r="F359" s="86"/>
      <c r="G359" s="86"/>
      <c r="H359" s="300"/>
      <c r="I359" s="76"/>
      <c r="J359" s="76"/>
      <c r="K359" s="302"/>
      <c r="L359" s="124"/>
      <c r="M359" s="53"/>
      <c r="N359" s="76"/>
      <c r="O359" s="31"/>
      <c r="P359" s="107"/>
      <c r="Q359" s="178"/>
      <c r="R359" s="138"/>
      <c r="S359" s="139"/>
      <c r="T359" s="49"/>
      <c r="U359" s="53"/>
      <c r="V359" s="76"/>
      <c r="W359" s="77"/>
      <c r="X359" s="177"/>
      <c r="Y359" s="178"/>
      <c r="Z359" s="138"/>
      <c r="AA359" s="139"/>
      <c r="AB359" s="177"/>
      <c r="AC359" s="178"/>
      <c r="AD359" s="138"/>
      <c r="AE359" s="139"/>
    </row>
    <row r="360" spans="1:31" ht="12">
      <c r="A360" s="96" t="s">
        <v>398</v>
      </c>
      <c r="B360" s="86"/>
      <c r="C360" s="86"/>
      <c r="D360" s="86" t="s">
        <v>11</v>
      </c>
      <c r="E360" s="86"/>
      <c r="F360" s="86"/>
      <c r="G360" s="86"/>
      <c r="H360" s="300"/>
      <c r="I360" s="76"/>
      <c r="J360" s="76"/>
      <c r="K360" s="302"/>
      <c r="L360" s="124"/>
      <c r="M360" s="53"/>
      <c r="N360" s="95"/>
      <c r="O360" s="31"/>
      <c r="P360" s="107"/>
      <c r="Q360" s="178"/>
      <c r="R360" s="95"/>
      <c r="S360" s="139"/>
      <c r="T360" s="49"/>
      <c r="U360" s="397"/>
      <c r="V360" s="188"/>
      <c r="W360" s="139"/>
      <c r="X360" s="177"/>
      <c r="Y360" s="398"/>
      <c r="Z360" s="188"/>
      <c r="AA360" s="139"/>
      <c r="AB360" s="177"/>
      <c r="AC360" s="398"/>
      <c r="AD360" s="188"/>
      <c r="AE360" s="139"/>
    </row>
    <row r="361" spans="1:31" ht="12">
      <c r="A361" s="96" t="s">
        <v>399</v>
      </c>
      <c r="B361" s="86"/>
      <c r="C361" s="86"/>
      <c r="D361" s="86" t="s">
        <v>12</v>
      </c>
      <c r="E361" s="86"/>
      <c r="F361" s="86"/>
      <c r="G361" s="86"/>
      <c r="H361" s="300"/>
      <c r="I361" s="76"/>
      <c r="J361" s="76"/>
      <c r="K361" s="302"/>
      <c r="L361" s="124"/>
      <c r="M361" s="53"/>
      <c r="N361" s="95"/>
      <c r="O361" s="31"/>
      <c r="P361" s="107"/>
      <c r="Q361" s="178"/>
      <c r="R361" s="188"/>
      <c r="S361" s="139"/>
      <c r="T361" s="49"/>
      <c r="U361" s="397"/>
      <c r="V361" s="138"/>
      <c r="W361" s="139"/>
      <c r="X361" s="177"/>
      <c r="Y361" s="398"/>
      <c r="Z361" s="138"/>
      <c r="AA361" s="139"/>
      <c r="AB361" s="177"/>
      <c r="AC361" s="398"/>
      <c r="AD361" s="138"/>
      <c r="AE361" s="139"/>
    </row>
    <row r="362" spans="1:31" ht="12">
      <c r="A362" s="96" t="s">
        <v>400</v>
      </c>
      <c r="B362" s="86"/>
      <c r="C362" s="86"/>
      <c r="D362" s="86" t="s">
        <v>13</v>
      </c>
      <c r="E362" s="86"/>
      <c r="F362" s="86"/>
      <c r="G362" s="86"/>
      <c r="H362" s="303"/>
      <c r="I362" s="73"/>
      <c r="J362" s="73"/>
      <c r="K362" s="304"/>
      <c r="L362" s="124"/>
      <c r="M362" s="53"/>
      <c r="N362" s="95"/>
      <c r="O362" s="31"/>
      <c r="P362" s="107"/>
      <c r="Q362" s="178"/>
      <c r="R362" s="95"/>
      <c r="S362" s="139"/>
      <c r="T362" s="49"/>
      <c r="U362" s="53"/>
      <c r="V362" s="188"/>
      <c r="W362" s="139"/>
      <c r="X362" s="177"/>
      <c r="Y362" s="178"/>
      <c r="Z362" s="188"/>
      <c r="AA362" s="139"/>
      <c r="AB362" s="177"/>
      <c r="AC362" s="178"/>
      <c r="AD362" s="188"/>
      <c r="AE362" s="139"/>
    </row>
    <row r="363" spans="1:31" ht="12">
      <c r="A363" s="96" t="s">
        <v>401</v>
      </c>
      <c r="B363" s="86"/>
      <c r="C363" s="86"/>
      <c r="D363" s="86" t="s">
        <v>14</v>
      </c>
      <c r="E363" s="86"/>
      <c r="F363" s="86"/>
      <c r="G363" s="86"/>
      <c r="H363" s="300"/>
      <c r="I363" s="76"/>
      <c r="J363" s="76"/>
      <c r="K363" s="302"/>
      <c r="L363" s="124"/>
      <c r="M363" s="53"/>
      <c r="N363" s="95"/>
      <c r="O363" s="31"/>
      <c r="P363" s="107"/>
      <c r="Q363" s="178"/>
      <c r="R363" s="188"/>
      <c r="S363" s="139"/>
      <c r="T363" s="49"/>
      <c r="U363" s="397"/>
      <c r="V363" s="95"/>
      <c r="W363" s="139"/>
      <c r="X363" s="177"/>
      <c r="Y363" s="398"/>
      <c r="Z363" s="188"/>
      <c r="AA363" s="139"/>
      <c r="AB363" s="177"/>
      <c r="AC363" s="398"/>
      <c r="AD363" s="188"/>
      <c r="AE363" s="139"/>
    </row>
    <row r="364" spans="1:31" ht="12">
      <c r="A364" s="96"/>
      <c r="B364" s="86"/>
      <c r="C364" s="86" t="s">
        <v>15</v>
      </c>
      <c r="D364" s="86"/>
      <c r="E364" s="86"/>
      <c r="F364" s="86"/>
      <c r="G364" s="86"/>
      <c r="H364" s="300"/>
      <c r="I364" s="76"/>
      <c r="J364" s="76"/>
      <c r="K364" s="302"/>
      <c r="L364" s="124"/>
      <c r="M364" s="53"/>
      <c r="N364" s="76"/>
      <c r="O364" s="31"/>
      <c r="P364" s="107"/>
      <c r="Q364" s="178"/>
      <c r="R364" s="138"/>
      <c r="S364" s="139"/>
      <c r="T364" s="49"/>
      <c r="U364" s="53"/>
      <c r="V364" s="75"/>
      <c r="W364" s="448"/>
      <c r="X364" s="177"/>
      <c r="Y364" s="178"/>
      <c r="Z364" s="141"/>
      <c r="AA364" s="34"/>
      <c r="AB364" s="177"/>
      <c r="AC364" s="178"/>
      <c r="AD364" s="141"/>
      <c r="AE364" s="34"/>
    </row>
    <row r="365" spans="1:31" ht="12">
      <c r="A365" s="96" t="s">
        <v>402</v>
      </c>
      <c r="B365" s="86"/>
      <c r="C365" s="86"/>
      <c r="D365" s="86" t="s">
        <v>11</v>
      </c>
      <c r="E365" s="86"/>
      <c r="F365" s="86"/>
      <c r="G365" s="86"/>
      <c r="H365" s="300"/>
      <c r="I365" s="76"/>
      <c r="J365" s="76"/>
      <c r="K365" s="302"/>
      <c r="L365" s="124"/>
      <c r="M365" s="53"/>
      <c r="N365" s="76"/>
      <c r="O365" s="31"/>
      <c r="P365" s="107"/>
      <c r="Q365" s="178"/>
      <c r="R365" s="138"/>
      <c r="S365" s="139"/>
      <c r="T365" s="49"/>
      <c r="U365" s="53"/>
      <c r="V365" s="75"/>
      <c r="W365" s="448"/>
      <c r="X365" s="177"/>
      <c r="Y365" s="178"/>
      <c r="Z365" s="141"/>
      <c r="AA365" s="34"/>
      <c r="AB365" s="177"/>
      <c r="AC365" s="178"/>
      <c r="AD365" s="141"/>
      <c r="AE365" s="34"/>
    </row>
    <row r="366" spans="1:31" ht="12">
      <c r="A366" s="96" t="s">
        <v>403</v>
      </c>
      <c r="B366" s="86"/>
      <c r="C366" s="86"/>
      <c r="D366" s="86" t="s">
        <v>12</v>
      </c>
      <c r="E366" s="86"/>
      <c r="F366" s="86"/>
      <c r="G366" s="86"/>
      <c r="H366" s="300"/>
      <c r="I366" s="76"/>
      <c r="J366" s="76"/>
      <c r="K366" s="302"/>
      <c r="L366" s="124"/>
      <c r="M366" s="53"/>
      <c r="N366" s="76"/>
      <c r="O366" s="31"/>
      <c r="P366" s="107"/>
      <c r="Q366" s="178"/>
      <c r="R366" s="138"/>
      <c r="S366" s="139"/>
      <c r="T366" s="49"/>
      <c r="U366" s="53"/>
      <c r="V366" s="84"/>
      <c r="W366" s="448"/>
      <c r="X366" s="177"/>
      <c r="Y366" s="178"/>
      <c r="Z366" s="88"/>
      <c r="AA366" s="34"/>
      <c r="AB366" s="177"/>
      <c r="AC366" s="178"/>
      <c r="AD366" s="88"/>
      <c r="AE366" s="34"/>
    </row>
    <row r="367" spans="1:31" ht="12">
      <c r="A367" s="96" t="s">
        <v>404</v>
      </c>
      <c r="B367" s="86"/>
      <c r="C367" s="86"/>
      <c r="D367" s="86" t="s">
        <v>13</v>
      </c>
      <c r="E367" s="86"/>
      <c r="F367" s="86"/>
      <c r="G367" s="86"/>
      <c r="H367" s="300"/>
      <c r="I367" s="76"/>
      <c r="J367" s="76"/>
      <c r="K367" s="302"/>
      <c r="L367" s="124"/>
      <c r="M367" s="53"/>
      <c r="N367" s="76"/>
      <c r="O367" s="31"/>
      <c r="P367" s="107"/>
      <c r="Q367" s="178"/>
      <c r="R367" s="138"/>
      <c r="S367" s="139"/>
      <c r="T367" s="49"/>
      <c r="U367" s="53"/>
      <c r="V367" s="75"/>
      <c r="W367" s="448"/>
      <c r="X367" s="177"/>
      <c r="Y367" s="178"/>
      <c r="Z367" s="141"/>
      <c r="AA367" s="34"/>
      <c r="AB367" s="177"/>
      <c r="AC367" s="178"/>
      <c r="AD367" s="141"/>
      <c r="AE367" s="34"/>
    </row>
    <row r="368" spans="1:31" ht="12">
      <c r="A368" s="96" t="s">
        <v>405</v>
      </c>
      <c r="B368" s="86"/>
      <c r="C368" s="86"/>
      <c r="D368" s="86" t="s">
        <v>14</v>
      </c>
      <c r="E368" s="86"/>
      <c r="F368" s="86"/>
      <c r="G368" s="86"/>
      <c r="H368" s="300"/>
      <c r="I368" s="76"/>
      <c r="J368" s="76"/>
      <c r="K368" s="302"/>
      <c r="L368" s="124"/>
      <c r="M368" s="53"/>
      <c r="N368" s="76"/>
      <c r="O368" s="31"/>
      <c r="P368" s="107"/>
      <c r="Q368" s="178"/>
      <c r="R368" s="138"/>
      <c r="S368" s="139"/>
      <c r="T368" s="49"/>
      <c r="U368" s="53"/>
      <c r="V368" s="75"/>
      <c r="W368" s="448"/>
      <c r="X368" s="177"/>
      <c r="Y368" s="178"/>
      <c r="Z368" s="141"/>
      <c r="AA368" s="34"/>
      <c r="AB368" s="177"/>
      <c r="AC368" s="178"/>
      <c r="AD368" s="141"/>
      <c r="AE368" s="34"/>
    </row>
    <row r="369" spans="1:31" ht="12">
      <c r="A369" s="96"/>
      <c r="B369" s="86"/>
      <c r="C369" s="86" t="s">
        <v>16</v>
      </c>
      <c r="D369" s="86"/>
      <c r="E369" s="86"/>
      <c r="F369" s="86"/>
      <c r="G369" s="86"/>
      <c r="H369" s="300">
        <f>SUM(H359:H368)</f>
        <v>0</v>
      </c>
      <c r="I369" s="76">
        <f>SUM(I359:I368)</f>
        <v>0</v>
      </c>
      <c r="J369" s="76">
        <f>SUM(J359:J368)</f>
        <v>0</v>
      </c>
      <c r="K369" s="302">
        <f>SUM(K360:K368)</f>
        <v>0</v>
      </c>
      <c r="L369" s="124" t="s">
        <v>9</v>
      </c>
      <c r="M369" s="397">
        <f>M360</f>
        <v>0</v>
      </c>
      <c r="N369" s="95" t="e">
        <f>O369/M369</f>
        <v>#DIV/0!</v>
      </c>
      <c r="O369" s="31">
        <f>SUM(O359:O368)</f>
        <v>0</v>
      </c>
      <c r="P369" s="107" t="s">
        <v>9</v>
      </c>
      <c r="Q369" s="398">
        <f>Q360</f>
        <v>0</v>
      </c>
      <c r="R369" s="95" t="e">
        <f>S369/Q369</f>
        <v>#DIV/0!</v>
      </c>
      <c r="S369" s="139">
        <f>SUM(S359:S368)</f>
        <v>0</v>
      </c>
      <c r="T369" s="49">
        <f>T360</f>
        <v>0</v>
      </c>
      <c r="U369" s="397">
        <f>U360</f>
        <v>0</v>
      </c>
      <c r="V369" s="95" t="e">
        <f>W369/U369</f>
        <v>#DIV/0!</v>
      </c>
      <c r="W369" s="77">
        <f>SUM(W359:W368)</f>
        <v>0</v>
      </c>
      <c r="X369" s="177">
        <f>X360</f>
        <v>0</v>
      </c>
      <c r="Y369" s="398">
        <f>Y360</f>
        <v>0</v>
      </c>
      <c r="Z369" s="188" t="e">
        <f>AA369/Y369</f>
        <v>#DIV/0!</v>
      </c>
      <c r="AA369" s="139">
        <f>SUM(AA359:AA368)</f>
        <v>0</v>
      </c>
      <c r="AB369" s="177">
        <f>AB360</f>
        <v>0</v>
      </c>
      <c r="AC369" s="398">
        <f>AC360</f>
        <v>0</v>
      </c>
      <c r="AD369" s="188" t="e">
        <f>AE369/AC369</f>
        <v>#DIV/0!</v>
      </c>
      <c r="AE369" s="139">
        <f>SUM(AE359:AE368)</f>
        <v>0</v>
      </c>
    </row>
    <row r="370" spans="1:31" ht="12">
      <c r="A370" s="96"/>
      <c r="B370" s="86"/>
      <c r="C370" s="86" t="s">
        <v>10</v>
      </c>
      <c r="D370" s="86"/>
      <c r="E370" s="86"/>
      <c r="F370" s="86"/>
      <c r="G370" s="86"/>
      <c r="H370" s="300"/>
      <c r="I370" s="76"/>
      <c r="J370" s="76"/>
      <c r="K370" s="302"/>
      <c r="L370" s="124"/>
      <c r="M370" s="397"/>
      <c r="N370" s="76"/>
      <c r="O370" s="31"/>
      <c r="P370" s="107"/>
      <c r="Q370" s="398"/>
      <c r="R370" s="138"/>
      <c r="S370" s="139"/>
      <c r="T370" s="140"/>
      <c r="U370" s="178"/>
      <c r="V370" s="141"/>
      <c r="W370" s="34"/>
      <c r="X370" s="177"/>
      <c r="Y370" s="178"/>
      <c r="Z370" s="141"/>
      <c r="AA370" s="34"/>
      <c r="AB370" s="177"/>
      <c r="AC370" s="178"/>
      <c r="AD370" s="141"/>
      <c r="AE370" s="34"/>
    </row>
    <row r="371" spans="1:31" ht="12">
      <c r="A371" s="96" t="s">
        <v>406</v>
      </c>
      <c r="B371" s="86"/>
      <c r="C371" s="86"/>
      <c r="D371" s="86" t="s">
        <v>17</v>
      </c>
      <c r="E371" s="86"/>
      <c r="F371" s="86"/>
      <c r="G371" s="86"/>
      <c r="H371" s="300"/>
      <c r="I371" s="76"/>
      <c r="J371" s="76"/>
      <c r="K371" s="302"/>
      <c r="L371" s="124"/>
      <c r="M371" s="397"/>
      <c r="N371" s="76"/>
      <c r="O371" s="31"/>
      <c r="P371" s="107"/>
      <c r="Q371" s="398"/>
      <c r="R371" s="138"/>
      <c r="S371" s="139"/>
      <c r="T371" s="140"/>
      <c r="U371" s="178"/>
      <c r="V371" s="88"/>
      <c r="W371" s="34"/>
      <c r="X371" s="177"/>
      <c r="Y371" s="178"/>
      <c r="Z371" s="88"/>
      <c r="AA371" s="34"/>
      <c r="AB371" s="177"/>
      <c r="AC371" s="178"/>
      <c r="AD371" s="88"/>
      <c r="AE371" s="34"/>
    </row>
    <row r="372" spans="1:31" ht="12">
      <c r="A372" s="96" t="s">
        <v>407</v>
      </c>
      <c r="B372" s="86"/>
      <c r="C372" s="86"/>
      <c r="D372" s="86" t="s">
        <v>18</v>
      </c>
      <c r="E372" s="86"/>
      <c r="F372" s="86"/>
      <c r="G372" s="86"/>
      <c r="H372" s="300"/>
      <c r="I372" s="76"/>
      <c r="J372" s="76"/>
      <c r="K372" s="302"/>
      <c r="L372" s="124"/>
      <c r="M372" s="397"/>
      <c r="N372" s="95"/>
      <c r="O372" s="31"/>
      <c r="P372" s="107"/>
      <c r="Q372" s="398"/>
      <c r="R372" s="95"/>
      <c r="S372" s="139"/>
      <c r="T372" s="140"/>
      <c r="U372" s="398"/>
      <c r="V372" s="188"/>
      <c r="W372" s="139"/>
      <c r="X372" s="177"/>
      <c r="Y372" s="398"/>
      <c r="Z372" s="188"/>
      <c r="AA372" s="139"/>
      <c r="AB372" s="177"/>
      <c r="AC372" s="398"/>
      <c r="AD372" s="188"/>
      <c r="AE372" s="139"/>
    </row>
    <row r="373" spans="1:31" ht="12">
      <c r="A373" s="96"/>
      <c r="B373" s="86"/>
      <c r="C373" s="86" t="s">
        <v>15</v>
      </c>
      <c r="D373" s="86"/>
      <c r="E373" s="86"/>
      <c r="F373" s="86"/>
      <c r="G373" s="86"/>
      <c r="H373" s="300"/>
      <c r="I373" s="76"/>
      <c r="J373" s="76"/>
      <c r="K373" s="302"/>
      <c r="L373" s="124"/>
      <c r="M373" s="397"/>
      <c r="N373" s="76"/>
      <c r="O373" s="31"/>
      <c r="P373" s="107"/>
      <c r="Q373" s="398"/>
      <c r="R373" s="138"/>
      <c r="S373" s="139"/>
      <c r="T373" s="140"/>
      <c r="U373" s="178"/>
      <c r="V373" s="88"/>
      <c r="W373" s="34"/>
      <c r="X373" s="177"/>
      <c r="Y373" s="178"/>
      <c r="Z373" s="88"/>
      <c r="AA373" s="34"/>
      <c r="AB373" s="177"/>
      <c r="AC373" s="178"/>
      <c r="AD373" s="88"/>
      <c r="AE373" s="34"/>
    </row>
    <row r="374" spans="1:31" ht="12">
      <c r="A374" s="96" t="s">
        <v>408</v>
      </c>
      <c r="B374" s="86"/>
      <c r="C374" s="86"/>
      <c r="D374" s="86" t="s">
        <v>17</v>
      </c>
      <c r="E374" s="86"/>
      <c r="F374" s="86"/>
      <c r="G374" s="86"/>
      <c r="H374" s="300"/>
      <c r="I374" s="76"/>
      <c r="J374" s="76"/>
      <c r="K374" s="302"/>
      <c r="L374" s="124"/>
      <c r="M374" s="397"/>
      <c r="N374" s="76"/>
      <c r="O374" s="31"/>
      <c r="P374" s="107"/>
      <c r="Q374" s="398"/>
      <c r="R374" s="138"/>
      <c r="S374" s="139"/>
      <c r="T374" s="140"/>
      <c r="U374" s="178"/>
      <c r="V374" s="88"/>
      <c r="W374" s="34"/>
      <c r="X374" s="177"/>
      <c r="Y374" s="178"/>
      <c r="Z374" s="88"/>
      <c r="AA374" s="34"/>
      <c r="AB374" s="177"/>
      <c r="AC374" s="178"/>
      <c r="AD374" s="88"/>
      <c r="AE374" s="34"/>
    </row>
    <row r="375" spans="1:31" ht="12">
      <c r="A375" s="96" t="s">
        <v>409</v>
      </c>
      <c r="B375" s="86"/>
      <c r="C375" s="86"/>
      <c r="D375" s="86" t="s">
        <v>19</v>
      </c>
      <c r="E375" s="86"/>
      <c r="F375" s="86"/>
      <c r="G375" s="86"/>
      <c r="H375" s="303"/>
      <c r="I375" s="76"/>
      <c r="J375" s="76"/>
      <c r="K375" s="302"/>
      <c r="L375" s="124"/>
      <c r="M375" s="397"/>
      <c r="N375" s="76"/>
      <c r="O375" s="31"/>
      <c r="P375" s="107"/>
      <c r="Q375" s="398"/>
      <c r="R375" s="138"/>
      <c r="S375" s="139"/>
      <c r="T375" s="140"/>
      <c r="U375" s="178"/>
      <c r="V375" s="88"/>
      <c r="W375" s="34"/>
      <c r="X375" s="177"/>
      <c r="Y375" s="178"/>
      <c r="Z375" s="88"/>
      <c r="AA375" s="34"/>
      <c r="AB375" s="177"/>
      <c r="AC375" s="178"/>
      <c r="AD375" s="88"/>
      <c r="AE375" s="34"/>
    </row>
    <row r="376" spans="1:31" ht="12">
      <c r="A376" s="96"/>
      <c r="B376" s="86"/>
      <c r="C376" s="86" t="s">
        <v>20</v>
      </c>
      <c r="D376" s="86"/>
      <c r="E376" s="86"/>
      <c r="F376" s="86"/>
      <c r="G376" s="86"/>
      <c r="H376" s="300">
        <f>SUM(H370:H375)</f>
        <v>0</v>
      </c>
      <c r="I376" s="76">
        <f>SUM(I370:I375)</f>
        <v>0</v>
      </c>
      <c r="J376" s="76">
        <f>SUM(J370:J375)</f>
        <v>0</v>
      </c>
      <c r="K376" s="302">
        <f>SUM(K371:K375)</f>
        <v>0</v>
      </c>
      <c r="L376" s="124" t="s">
        <v>9</v>
      </c>
      <c r="M376" s="397">
        <f>M372</f>
        <v>0</v>
      </c>
      <c r="N376" s="95" t="e">
        <f>O376/M376</f>
        <v>#DIV/0!</v>
      </c>
      <c r="O376" s="31">
        <f>SUM(O370:O375)</f>
        <v>0</v>
      </c>
      <c r="P376" s="107" t="s">
        <v>9</v>
      </c>
      <c r="Q376" s="398">
        <f>Q372</f>
        <v>0</v>
      </c>
      <c r="R376" s="95" t="e">
        <f>S376/Q376</f>
        <v>#DIV/0!</v>
      </c>
      <c r="S376" s="139">
        <f>SUM(S370:S375)</f>
        <v>0</v>
      </c>
      <c r="T376" s="140">
        <f>T372</f>
        <v>0</v>
      </c>
      <c r="U376" s="398">
        <f>U372</f>
        <v>0</v>
      </c>
      <c r="V376" s="188" t="e">
        <f>W376/U376</f>
        <v>#DIV/0!</v>
      </c>
      <c r="W376" s="139">
        <f>SUM(W370:W375)</f>
        <v>0</v>
      </c>
      <c r="X376" s="177">
        <f>X372</f>
        <v>0</v>
      </c>
      <c r="Y376" s="398">
        <f>Y372</f>
        <v>0</v>
      </c>
      <c r="Z376" s="188" t="e">
        <f>AA376/Y376</f>
        <v>#DIV/0!</v>
      </c>
      <c r="AA376" s="139">
        <f>SUM(AA370:AA375)</f>
        <v>0</v>
      </c>
      <c r="AB376" s="177">
        <f>AB372</f>
        <v>0</v>
      </c>
      <c r="AC376" s="398">
        <f>AC372</f>
        <v>0</v>
      </c>
      <c r="AD376" s="188" t="e">
        <f>AE376/AC376</f>
        <v>#DIV/0!</v>
      </c>
      <c r="AE376" s="139">
        <f>SUM(AE370:AE375)</f>
        <v>0</v>
      </c>
    </row>
    <row r="377" spans="1:31" ht="12">
      <c r="A377" s="96"/>
      <c r="B377" s="86" t="s">
        <v>213</v>
      </c>
      <c r="C377" s="86"/>
      <c r="D377" s="86"/>
      <c r="E377" s="86"/>
      <c r="F377" s="86"/>
      <c r="G377" s="86"/>
      <c r="H377" s="300">
        <f>H369+H376+H358</f>
        <v>3500</v>
      </c>
      <c r="I377" s="76">
        <f>I369+I376+I358</f>
        <v>13500</v>
      </c>
      <c r="J377" s="76">
        <f>J369+J376+J358</f>
        <v>0</v>
      </c>
      <c r="K377" s="302">
        <f>K369+K376+K358</f>
        <v>17000</v>
      </c>
      <c r="L377" s="124" t="s">
        <v>9</v>
      </c>
      <c r="M377" s="397">
        <f>M369</f>
        <v>0</v>
      </c>
      <c r="N377" s="95" t="e">
        <f>O377/M377</f>
        <v>#DIV/0!</v>
      </c>
      <c r="O377" s="31">
        <f>O369+O376+O358</f>
        <v>17000</v>
      </c>
      <c r="P377" s="107" t="s">
        <v>9</v>
      </c>
      <c r="Q377" s="398">
        <f>Q369</f>
        <v>0</v>
      </c>
      <c r="R377" s="95" t="e">
        <f>S377/Q377</f>
        <v>#DIV/0!</v>
      </c>
      <c r="S377" s="139">
        <f>S369+S376+S358</f>
        <v>17000</v>
      </c>
      <c r="T377" s="140" t="s">
        <v>9</v>
      </c>
      <c r="U377" s="398">
        <f>U369</f>
        <v>0</v>
      </c>
      <c r="V377" s="188" t="e">
        <f>W377/U377</f>
        <v>#DIV/0!</v>
      </c>
      <c r="W377" s="139">
        <f>W369+W376+W358</f>
        <v>17000</v>
      </c>
      <c r="X377" s="177" t="s">
        <v>9</v>
      </c>
      <c r="Y377" s="398">
        <f>Y369</f>
        <v>0</v>
      </c>
      <c r="Z377" s="188" t="e">
        <f>AA377/Y377</f>
        <v>#DIV/0!</v>
      </c>
      <c r="AA377" s="139">
        <f>AA369+AA376+AA358</f>
        <v>17000</v>
      </c>
      <c r="AB377" s="177" t="s">
        <v>9</v>
      </c>
      <c r="AC377" s="398">
        <f>AC369</f>
        <v>0</v>
      </c>
      <c r="AD377" s="188" t="e">
        <f>AE377/AC377</f>
        <v>#DIV/0!</v>
      </c>
      <c r="AE377" s="139">
        <f>AE369+AE376+AE358</f>
        <v>17000</v>
      </c>
    </row>
    <row r="378" spans="1:31" ht="12.75" thickBot="1">
      <c r="A378" s="85"/>
      <c r="B378" s="86"/>
      <c r="C378" s="86"/>
      <c r="D378" s="86"/>
      <c r="E378" s="86"/>
      <c r="F378" s="86"/>
      <c r="G378" s="86"/>
      <c r="H378" s="195"/>
      <c r="I378" s="138"/>
      <c r="J378" s="138"/>
      <c r="K378" s="309"/>
      <c r="L378" s="257"/>
      <c r="M378" s="183"/>
      <c r="N378" s="138"/>
      <c r="O378" s="269"/>
      <c r="P378" s="275"/>
      <c r="Q378" s="183"/>
      <c r="R378" s="190"/>
      <c r="S378" s="220"/>
      <c r="T378" s="140"/>
      <c r="U378" s="178"/>
      <c r="V378" s="138"/>
      <c r="W378" s="139"/>
      <c r="X378" s="177"/>
      <c r="Y378" s="178"/>
      <c r="Z378" s="138"/>
      <c r="AA378" s="139"/>
      <c r="AB378" s="177"/>
      <c r="AC378" s="178"/>
      <c r="AD378" s="138"/>
      <c r="AE378" s="139"/>
    </row>
    <row r="379" spans="1:31" ht="12.75" thickTop="1">
      <c r="A379" s="108"/>
      <c r="B379" s="82" t="s">
        <v>134</v>
      </c>
      <c r="C379" s="82"/>
      <c r="D379" s="82"/>
      <c r="E379" s="82"/>
      <c r="F379" s="82"/>
      <c r="G379" s="82"/>
      <c r="H379" s="385">
        <f>H113+H135+H157+H179+H201+H223+H245+H267+H289+H311+H333+H355+H377</f>
        <v>388000</v>
      </c>
      <c r="I379" s="282">
        <f>I113+I135+I157+I179+I201+I223+I245+I267+I289+I311+I333+I355+I377</f>
        <v>346400</v>
      </c>
      <c r="J379" s="282">
        <f>J113+J135+J157+J179+J201+J223+J245+J267+J289+J311+J333+J355+J377</f>
        <v>0</v>
      </c>
      <c r="K379" s="390">
        <f>K113+K135+K157+K179+K201+K223+K245+K267+K289+K311+K333+K355+K377</f>
        <v>1121441.2</v>
      </c>
      <c r="L379" s="256" t="s">
        <v>9</v>
      </c>
      <c r="M379" s="264">
        <f>M113+M135+M157+M179+M201+M223+M245+M267+M289+M311+M333+M377</f>
        <v>112.70000000000002</v>
      </c>
      <c r="N379" s="239">
        <f>O379/M379</f>
        <v>9950.676131322092</v>
      </c>
      <c r="O379" s="92">
        <f>O113+O135+O157+O179+O201+O223+O245+O267+O289+O311+O333+O355+O377</f>
        <v>1121441.2</v>
      </c>
      <c r="P379" s="276" t="s">
        <v>9</v>
      </c>
      <c r="Q379" s="178">
        <f>Q113+Q135+Q157+Q179+Q201+Q223+Q245+Q267+Q289+Q311+Q333+Q377</f>
        <v>112.70000000000002</v>
      </c>
      <c r="R379" s="249">
        <f>S379/Q379</f>
        <v>9950.676131322092</v>
      </c>
      <c r="S379" s="182">
        <f>S113+S135+S157+S179+S201+S223+S245+S267+S289+S311+S333+S355+S377</f>
        <v>1121441.2</v>
      </c>
      <c r="T379" s="447" t="s">
        <v>9</v>
      </c>
      <c r="U379" s="185">
        <f>U113+U135+U157+U179+U201+U223+U245+U267+U289+U311+U333+U377</f>
        <v>112.70000000000002</v>
      </c>
      <c r="V379" s="283">
        <f>W379/U379</f>
        <v>11903.384205856255</v>
      </c>
      <c r="W379" s="187">
        <f>W113+W135+W157+W179+W201+W223+W245+W267+W289+W311+W333+W355+W377</f>
        <v>1341511.4000000001</v>
      </c>
      <c r="X379" s="184" t="s">
        <v>9</v>
      </c>
      <c r="Y379" s="185">
        <f>Y113+Y135+Y157+Y179+Y201+Y223+Y245+Y267+Y289+Y311+Y333+Y377</f>
        <v>112.70000000000002</v>
      </c>
      <c r="Z379" s="283">
        <f>AA379/Y379</f>
        <v>11903.384205856255</v>
      </c>
      <c r="AA379" s="187">
        <f>AA113+AA135+AA157+AA179+AA201+AA223+AA245+AA267+AA289+AA311+AA333+AA355+AA377</f>
        <v>1341511.4000000001</v>
      </c>
      <c r="AB379" s="184" t="s">
        <v>9</v>
      </c>
      <c r="AC379" s="185">
        <f>AC113+AC135+AC157+AC179+AC201+AC223+AC245+AC267+AC289+AC311+AC333+AC377</f>
        <v>112.70000000000002</v>
      </c>
      <c r="AD379" s="283">
        <f>AE379/AC379</f>
        <v>11903.384205856255</v>
      </c>
      <c r="AE379" s="187">
        <f>AE113+AE135+AE157+AE179+AE201+AE223+AE245+AE267+AE289+AE311+AE333+AE355+AE377</f>
        <v>1341511.4000000001</v>
      </c>
    </row>
    <row r="380" spans="1:31" ht="12">
      <c r="A380" s="85"/>
      <c r="B380" s="15"/>
      <c r="C380" s="15"/>
      <c r="D380" s="15"/>
      <c r="E380" s="15"/>
      <c r="F380" s="15"/>
      <c r="G380" s="15"/>
      <c r="H380" s="300"/>
      <c r="I380" s="261"/>
      <c r="J380" s="261"/>
      <c r="K380" s="302"/>
      <c r="L380" s="124"/>
      <c r="M380" s="211"/>
      <c r="N380" s="76"/>
      <c r="O380" s="31"/>
      <c r="P380" s="107"/>
      <c r="Q380" s="428"/>
      <c r="R380" s="138"/>
      <c r="S380" s="139"/>
      <c r="T380" s="273"/>
      <c r="U380" s="335"/>
      <c r="V380" s="235"/>
      <c r="W380" s="236"/>
      <c r="X380" s="231"/>
      <c r="Y380" s="335"/>
      <c r="Z380" s="235"/>
      <c r="AA380" s="236"/>
      <c r="AB380" s="177"/>
      <c r="AC380" s="174"/>
      <c r="AD380" s="97"/>
      <c r="AE380" s="34"/>
    </row>
    <row r="381" spans="1:31" ht="12">
      <c r="A381" s="85">
        <v>5</v>
      </c>
      <c r="B381" s="35" t="s">
        <v>31</v>
      </c>
      <c r="C381" s="35"/>
      <c r="D381" s="35"/>
      <c r="E381" s="35"/>
      <c r="F381" s="35"/>
      <c r="G381" s="86"/>
      <c r="H381" s="195"/>
      <c r="I381" s="138"/>
      <c r="J381" s="138"/>
      <c r="K381" s="309"/>
      <c r="L381" s="257"/>
      <c r="M381" s="178"/>
      <c r="N381" s="138"/>
      <c r="O381" s="43"/>
      <c r="P381" s="107"/>
      <c r="Q381" s="178"/>
      <c r="R381" s="138"/>
      <c r="S381" s="139"/>
      <c r="T381" s="273"/>
      <c r="U381" s="235"/>
      <c r="V381" s="235"/>
      <c r="W381" s="336"/>
      <c r="X381" s="231"/>
      <c r="Y381" s="235"/>
      <c r="Z381" s="235"/>
      <c r="AA381" s="336"/>
      <c r="AB381" s="177"/>
      <c r="AC381" s="97"/>
      <c r="AD381" s="97"/>
      <c r="AE381" s="89"/>
    </row>
    <row r="382" spans="1:31" ht="12">
      <c r="A382" s="85" t="s">
        <v>55</v>
      </c>
      <c r="B382" s="15" t="s">
        <v>100</v>
      </c>
      <c r="C382" s="15"/>
      <c r="D382" s="15"/>
      <c r="E382" s="15"/>
      <c r="F382" s="15"/>
      <c r="G382" s="15"/>
      <c r="H382" s="300"/>
      <c r="I382" s="76"/>
      <c r="J382" s="76"/>
      <c r="K382" s="309"/>
      <c r="L382" s="258"/>
      <c r="M382" s="178"/>
      <c r="N382" s="138"/>
      <c r="O382" s="43"/>
      <c r="P382" s="28"/>
      <c r="Q382" s="53"/>
      <c r="R382" s="76"/>
      <c r="S382" s="77"/>
      <c r="T382" s="355"/>
      <c r="U382" s="341"/>
      <c r="V382" s="229"/>
      <c r="W382" s="340"/>
      <c r="X382" s="353"/>
      <c r="Y382" s="232"/>
      <c r="Z382" s="233"/>
      <c r="AA382" s="338"/>
      <c r="AB382" s="195"/>
      <c r="AC382" s="178"/>
      <c r="AD382" s="138"/>
      <c r="AE382" s="139"/>
    </row>
    <row r="383" spans="1:31" ht="12">
      <c r="A383" s="85"/>
      <c r="B383" s="15"/>
      <c r="C383" s="15"/>
      <c r="D383" s="15"/>
      <c r="E383" s="15"/>
      <c r="F383" s="15"/>
      <c r="G383" s="15"/>
      <c r="H383" s="300"/>
      <c r="I383" s="76"/>
      <c r="J383" s="76"/>
      <c r="K383" s="302"/>
      <c r="L383" s="124"/>
      <c r="M383" s="53"/>
      <c r="N383" s="76"/>
      <c r="O383" s="31"/>
      <c r="P383" s="107"/>
      <c r="Q383" s="178"/>
      <c r="R383" s="138"/>
      <c r="S383" s="139"/>
      <c r="T383" s="273"/>
      <c r="U383" s="232"/>
      <c r="V383" s="233"/>
      <c r="W383" s="338"/>
      <c r="X383" s="231"/>
      <c r="Y383" s="232"/>
      <c r="Z383" s="233"/>
      <c r="AA383" s="338"/>
      <c r="AB383" s="177"/>
      <c r="AC383" s="178"/>
      <c r="AD383" s="138"/>
      <c r="AE383" s="139"/>
    </row>
    <row r="384" spans="1:31" ht="12">
      <c r="A384" s="85" t="s">
        <v>56</v>
      </c>
      <c r="B384" s="15" t="s">
        <v>99</v>
      </c>
      <c r="C384" s="15"/>
      <c r="D384" s="15"/>
      <c r="E384" s="15"/>
      <c r="F384" s="15"/>
      <c r="G384" s="15"/>
      <c r="H384" s="300"/>
      <c r="I384" s="76"/>
      <c r="J384" s="76"/>
      <c r="K384" s="302"/>
      <c r="L384" s="124"/>
      <c r="M384" s="53"/>
      <c r="N384" s="76"/>
      <c r="O384" s="31"/>
      <c r="P384" s="107"/>
      <c r="Q384" s="178"/>
      <c r="R384" s="138"/>
      <c r="S384" s="139"/>
      <c r="T384" s="273"/>
      <c r="U384" s="232"/>
      <c r="V384" s="233"/>
      <c r="W384" s="338"/>
      <c r="X384" s="231"/>
      <c r="Y384" s="232"/>
      <c r="Z384" s="233"/>
      <c r="AA384" s="338"/>
      <c r="AB384" s="177"/>
      <c r="AC384" s="178"/>
      <c r="AD384" s="138"/>
      <c r="AE384" s="139"/>
    </row>
    <row r="385" spans="1:31" ht="12.75" thickBot="1">
      <c r="A385" s="85"/>
      <c r="B385" s="15"/>
      <c r="C385" s="15"/>
      <c r="D385" s="15"/>
      <c r="E385" s="15"/>
      <c r="F385" s="15"/>
      <c r="G385" s="15"/>
      <c r="H385" s="300"/>
      <c r="I385" s="76"/>
      <c r="J385" s="76"/>
      <c r="K385" s="302"/>
      <c r="L385" s="124"/>
      <c r="M385" s="53"/>
      <c r="N385" s="76"/>
      <c r="O385" s="31"/>
      <c r="P385" s="107"/>
      <c r="Q385" s="178"/>
      <c r="R385" s="138"/>
      <c r="S385" s="139"/>
      <c r="T385" s="273"/>
      <c r="U385" s="232"/>
      <c r="V385" s="233"/>
      <c r="W385" s="338"/>
      <c r="X385" s="231"/>
      <c r="Y385" s="232"/>
      <c r="Z385" s="233"/>
      <c r="AA385" s="338"/>
      <c r="AB385" s="177"/>
      <c r="AC385" s="178"/>
      <c r="AD385" s="138"/>
      <c r="AE385" s="139"/>
    </row>
    <row r="386" spans="1:31" ht="12.75" thickTop="1">
      <c r="A386" s="108"/>
      <c r="B386" s="82" t="s">
        <v>32</v>
      </c>
      <c r="C386" s="82"/>
      <c r="D386" s="82"/>
      <c r="E386" s="82"/>
      <c r="F386" s="82"/>
      <c r="G386" s="82"/>
      <c r="H386" s="307">
        <f>SUM(H381:H385)</f>
        <v>0</v>
      </c>
      <c r="I386" s="282">
        <f>SUM(I381:I385)</f>
        <v>0</v>
      </c>
      <c r="J386" s="282">
        <f>SUM(J381:J385)</f>
        <v>0</v>
      </c>
      <c r="K386" s="308">
        <f>SUM(K381:K385)</f>
        <v>0</v>
      </c>
      <c r="L386" s="256" t="s">
        <v>139</v>
      </c>
      <c r="M386" s="264">
        <v>0</v>
      </c>
      <c r="N386" s="186" t="e">
        <f>O386/M386</f>
        <v>#DIV/0!</v>
      </c>
      <c r="O386" s="92">
        <f>SUM(O381:O385)</f>
        <v>0</v>
      </c>
      <c r="P386" s="278" t="s">
        <v>139</v>
      </c>
      <c r="Q386" s="185">
        <v>0</v>
      </c>
      <c r="R386" s="186" t="e">
        <f>S386/Q386</f>
        <v>#DIV/0!</v>
      </c>
      <c r="S386" s="187">
        <f>SUM(S381:S385)</f>
        <v>0</v>
      </c>
      <c r="T386" s="349"/>
      <c r="U386" s="347"/>
      <c r="V386" s="356"/>
      <c r="W386" s="348"/>
      <c r="X386" s="350"/>
      <c r="Y386" s="347"/>
      <c r="Z386" s="356"/>
      <c r="AA386" s="348"/>
      <c r="AB386" s="184"/>
      <c r="AC386" s="185"/>
      <c r="AD386" s="186"/>
      <c r="AE386" s="187"/>
    </row>
    <row r="387" spans="1:31" ht="12">
      <c r="A387" s="85"/>
      <c r="B387" s="15"/>
      <c r="C387" s="15"/>
      <c r="D387" s="15"/>
      <c r="E387" s="15"/>
      <c r="F387" s="15"/>
      <c r="G387" s="15"/>
      <c r="H387" s="300"/>
      <c r="I387" s="76"/>
      <c r="J387" s="76"/>
      <c r="K387" s="302"/>
      <c r="L387" s="124"/>
      <c r="M387" s="53"/>
      <c r="N387" s="76"/>
      <c r="O387" s="31"/>
      <c r="P387" s="107"/>
      <c r="Q387" s="178"/>
      <c r="R387" s="138"/>
      <c r="S387" s="139"/>
      <c r="T387" s="273"/>
      <c r="U387" s="235"/>
      <c r="V387" s="233"/>
      <c r="W387" s="236"/>
      <c r="X387" s="177"/>
      <c r="Y387" s="97"/>
      <c r="Z387" s="88"/>
      <c r="AA387" s="34"/>
      <c r="AB387" s="231"/>
      <c r="AC387" s="235"/>
      <c r="AD387" s="238"/>
      <c r="AE387" s="236"/>
    </row>
    <row r="388" spans="1:31" ht="12">
      <c r="A388" s="85">
        <v>6</v>
      </c>
      <c r="B388" s="33" t="s">
        <v>33</v>
      </c>
      <c r="C388" s="33"/>
      <c r="D388" s="33"/>
      <c r="E388" s="33"/>
      <c r="F388" s="33"/>
      <c r="G388" s="33"/>
      <c r="H388" s="310"/>
      <c r="I388" s="311"/>
      <c r="J388" s="311"/>
      <c r="K388" s="312"/>
      <c r="L388" s="257"/>
      <c r="M388" s="178"/>
      <c r="N388" s="138"/>
      <c r="O388" s="43"/>
      <c r="P388" s="107"/>
      <c r="Q388" s="178"/>
      <c r="R388" s="138"/>
      <c r="S388" s="139"/>
      <c r="T388" s="273"/>
      <c r="U388" s="235"/>
      <c r="V388" s="233"/>
      <c r="W388" s="236"/>
      <c r="X388" s="177"/>
      <c r="Y388" s="97"/>
      <c r="Z388" s="97"/>
      <c r="AA388" s="34"/>
      <c r="AB388" s="177"/>
      <c r="AC388" s="97"/>
      <c r="AD388" s="97"/>
      <c r="AE388" s="34"/>
    </row>
    <row r="389" spans="1:99" s="331" customFormat="1" ht="12">
      <c r="A389" s="224" t="s">
        <v>59</v>
      </c>
      <c r="B389" s="170" t="s">
        <v>141</v>
      </c>
      <c r="C389" s="170"/>
      <c r="D389" s="170"/>
      <c r="E389" s="170"/>
      <c r="F389" s="170"/>
      <c r="G389" s="170"/>
      <c r="H389" s="195"/>
      <c r="I389" s="138"/>
      <c r="J389" s="138"/>
      <c r="K389" s="309"/>
      <c r="L389" s="258"/>
      <c r="M389" s="178"/>
      <c r="N389" s="138"/>
      <c r="O389" s="43"/>
      <c r="P389" s="87"/>
      <c r="Q389" s="178"/>
      <c r="R389" s="138"/>
      <c r="S389" s="139"/>
      <c r="T389" s="357"/>
      <c r="U389" s="232"/>
      <c r="V389" s="233"/>
      <c r="W389" s="338"/>
      <c r="X389" s="195"/>
      <c r="Y389" s="178"/>
      <c r="Z389" s="138"/>
      <c r="AA389" s="139"/>
      <c r="AB389" s="195"/>
      <c r="AC389" s="178"/>
      <c r="AD389" s="138"/>
      <c r="AE389" s="139"/>
      <c r="AF389" s="327"/>
      <c r="AG389" s="327"/>
      <c r="AH389" s="327"/>
      <c r="AI389" s="327"/>
      <c r="AJ389" s="327"/>
      <c r="AK389" s="327"/>
      <c r="AL389" s="327"/>
      <c r="AM389" s="327"/>
      <c r="AN389" s="327"/>
      <c r="AO389" s="327"/>
      <c r="AP389" s="327"/>
      <c r="AQ389" s="327"/>
      <c r="AR389" s="327"/>
      <c r="AS389" s="327"/>
      <c r="AT389" s="327"/>
      <c r="AU389" s="327"/>
      <c r="AV389" s="327"/>
      <c r="AW389" s="327"/>
      <c r="AX389" s="327"/>
      <c r="AY389" s="327"/>
      <c r="AZ389" s="327"/>
      <c r="BA389" s="327"/>
      <c r="BB389" s="327"/>
      <c r="BC389" s="327"/>
      <c r="BD389" s="327"/>
      <c r="BE389" s="327"/>
      <c r="BF389" s="327"/>
      <c r="BG389" s="327"/>
      <c r="BH389" s="327"/>
      <c r="BI389" s="327"/>
      <c r="BJ389" s="327"/>
      <c r="BK389" s="327"/>
      <c r="BL389" s="327"/>
      <c r="BM389" s="327"/>
      <c r="BN389" s="327"/>
      <c r="BO389" s="327"/>
      <c r="BP389" s="327"/>
      <c r="BQ389" s="327"/>
      <c r="BR389" s="327"/>
      <c r="BS389" s="327"/>
      <c r="BT389" s="327"/>
      <c r="BU389" s="327"/>
      <c r="BV389" s="327"/>
      <c r="BW389" s="327"/>
      <c r="BX389" s="327"/>
      <c r="BY389" s="327"/>
      <c r="BZ389" s="327"/>
      <c r="CA389" s="327"/>
      <c r="CB389" s="327"/>
      <c r="CC389" s="327"/>
      <c r="CD389" s="327"/>
      <c r="CE389" s="327"/>
      <c r="CF389" s="327"/>
      <c r="CG389" s="327"/>
      <c r="CH389" s="327"/>
      <c r="CI389" s="327"/>
      <c r="CJ389" s="327"/>
      <c r="CK389" s="327"/>
      <c r="CL389" s="327"/>
      <c r="CM389" s="327"/>
      <c r="CN389" s="327"/>
      <c r="CO389" s="327"/>
      <c r="CP389" s="327"/>
      <c r="CQ389" s="327"/>
      <c r="CR389" s="327"/>
      <c r="CS389" s="327"/>
      <c r="CT389" s="327"/>
      <c r="CU389" s="327"/>
    </row>
    <row r="390" spans="1:31" ht="12">
      <c r="A390" s="85" t="s">
        <v>60</v>
      </c>
      <c r="B390" s="15" t="s">
        <v>34</v>
      </c>
      <c r="C390" s="15"/>
      <c r="D390" s="15"/>
      <c r="E390" s="15"/>
      <c r="F390" s="15"/>
      <c r="G390" s="15"/>
      <c r="H390" s="300"/>
      <c r="I390" s="76"/>
      <c r="J390" s="76"/>
      <c r="K390" s="309"/>
      <c r="L390" s="124"/>
      <c r="M390" s="53"/>
      <c r="N390" s="138"/>
      <c r="O390" s="43"/>
      <c r="P390" s="78"/>
      <c r="Q390" s="53"/>
      <c r="R390" s="138"/>
      <c r="S390" s="139"/>
      <c r="T390" s="273"/>
      <c r="U390" s="232"/>
      <c r="V390" s="233"/>
      <c r="W390" s="338"/>
      <c r="X390" s="177"/>
      <c r="Y390" s="178"/>
      <c r="Z390" s="138"/>
      <c r="AA390" s="139"/>
      <c r="AB390" s="177"/>
      <c r="AC390" s="178"/>
      <c r="AD390" s="138"/>
      <c r="AE390" s="139"/>
    </row>
    <row r="391" spans="1:31" ht="12">
      <c r="A391" s="85" t="s">
        <v>61</v>
      </c>
      <c r="B391" s="15" t="s">
        <v>35</v>
      </c>
      <c r="C391" s="15"/>
      <c r="D391" s="15"/>
      <c r="E391" s="15"/>
      <c r="F391" s="15"/>
      <c r="G391" s="15"/>
      <c r="H391" s="300"/>
      <c r="I391" s="76"/>
      <c r="J391" s="76"/>
      <c r="K391" s="309"/>
      <c r="L391" s="124"/>
      <c r="M391" s="53"/>
      <c r="N391" s="76"/>
      <c r="O391" s="31"/>
      <c r="P391" s="107"/>
      <c r="Q391" s="178"/>
      <c r="R391" s="138"/>
      <c r="S391" s="139"/>
      <c r="T391" s="273"/>
      <c r="U391" s="235"/>
      <c r="V391" s="233"/>
      <c r="W391" s="236"/>
      <c r="X391" s="177"/>
      <c r="Y391" s="97"/>
      <c r="Z391" s="138"/>
      <c r="AA391" s="34"/>
      <c r="AB391" s="177"/>
      <c r="AC391" s="97"/>
      <c r="AD391" s="138"/>
      <c r="AE391" s="34"/>
    </row>
    <row r="392" spans="1:31" ht="12">
      <c r="A392" s="85" t="s">
        <v>62</v>
      </c>
      <c r="B392" s="15" t="s">
        <v>36</v>
      </c>
      <c r="C392" s="15"/>
      <c r="D392" s="15"/>
      <c r="E392" s="15"/>
      <c r="F392" s="15"/>
      <c r="G392" s="15"/>
      <c r="H392" s="300"/>
      <c r="I392" s="76"/>
      <c r="J392" s="76"/>
      <c r="K392" s="302"/>
      <c r="L392" s="124"/>
      <c r="M392" s="53"/>
      <c r="N392" s="76"/>
      <c r="O392" s="31"/>
      <c r="P392" s="107"/>
      <c r="Q392" s="178"/>
      <c r="R392" s="138"/>
      <c r="S392" s="139"/>
      <c r="T392" s="140"/>
      <c r="U392" s="97"/>
      <c r="V392" s="138"/>
      <c r="W392" s="34"/>
      <c r="X392" s="177"/>
      <c r="Y392" s="97"/>
      <c r="Z392" s="138"/>
      <c r="AA392" s="34"/>
      <c r="AB392" s="177"/>
      <c r="AC392" s="97"/>
      <c r="AD392" s="138"/>
      <c r="AE392" s="34"/>
    </row>
    <row r="393" spans="1:31" ht="12">
      <c r="A393" s="85" t="s">
        <v>63</v>
      </c>
      <c r="B393" s="15" t="s">
        <v>480</v>
      </c>
      <c r="C393" s="15"/>
      <c r="D393" s="15"/>
      <c r="E393" s="15"/>
      <c r="F393" s="15"/>
      <c r="G393" s="15"/>
      <c r="H393" s="300"/>
      <c r="I393" s="76"/>
      <c r="J393" s="76"/>
      <c r="K393" s="302">
        <v>180000</v>
      </c>
      <c r="L393" s="124" t="s">
        <v>140</v>
      </c>
      <c r="M393" s="53">
        <v>3000</v>
      </c>
      <c r="N393" s="138">
        <f>O393/M393</f>
        <v>60</v>
      </c>
      <c r="O393" s="43">
        <f>K393</f>
        <v>180000</v>
      </c>
      <c r="P393" s="107" t="s">
        <v>140</v>
      </c>
      <c r="Q393" s="178">
        <v>3000</v>
      </c>
      <c r="R393" s="138">
        <f>S393/Q393</f>
        <v>60</v>
      </c>
      <c r="S393" s="139">
        <f aca="true" t="shared" si="12" ref="S393:AE393">O393</f>
        <v>180000</v>
      </c>
      <c r="T393" s="140" t="str">
        <f t="shared" si="12"/>
        <v>cy</v>
      </c>
      <c r="U393" s="178">
        <f t="shared" si="12"/>
        <v>3000</v>
      </c>
      <c r="V393" s="138">
        <f t="shared" si="12"/>
        <v>60</v>
      </c>
      <c r="W393" s="34">
        <f t="shared" si="12"/>
        <v>180000</v>
      </c>
      <c r="X393" s="177" t="str">
        <f t="shared" si="12"/>
        <v>cy</v>
      </c>
      <c r="Y393" s="178">
        <f t="shared" si="12"/>
        <v>3000</v>
      </c>
      <c r="Z393" s="138">
        <f t="shared" si="12"/>
        <v>60</v>
      </c>
      <c r="AA393" s="34">
        <f t="shared" si="12"/>
        <v>180000</v>
      </c>
      <c r="AB393" s="177" t="str">
        <f t="shared" si="12"/>
        <v>cy</v>
      </c>
      <c r="AC393" s="178">
        <f t="shared" si="12"/>
        <v>3000</v>
      </c>
      <c r="AD393" s="138">
        <f t="shared" si="12"/>
        <v>60</v>
      </c>
      <c r="AE393" s="34">
        <f t="shared" si="12"/>
        <v>180000</v>
      </c>
    </row>
    <row r="394" spans="1:31" ht="12">
      <c r="A394" s="85" t="s">
        <v>115</v>
      </c>
      <c r="B394" s="15" t="s">
        <v>37</v>
      </c>
      <c r="C394" s="15"/>
      <c r="D394" s="15"/>
      <c r="E394" s="15"/>
      <c r="F394" s="15"/>
      <c r="G394" s="15"/>
      <c r="H394" s="300"/>
      <c r="I394" s="76"/>
      <c r="J394" s="76"/>
      <c r="K394" s="302"/>
      <c r="L394" s="124"/>
      <c r="M394" s="53"/>
      <c r="N394" s="76"/>
      <c r="O394" s="31"/>
      <c r="P394" s="107"/>
      <c r="Q394" s="178"/>
      <c r="R394" s="138"/>
      <c r="S394" s="139"/>
      <c r="T394" s="140" t="s">
        <v>153</v>
      </c>
      <c r="U394" s="97">
        <v>7</v>
      </c>
      <c r="V394" s="138">
        <v>10000</v>
      </c>
      <c r="W394" s="34">
        <f>U394*V394</f>
        <v>70000</v>
      </c>
      <c r="X394" s="177" t="s">
        <v>153</v>
      </c>
      <c r="Y394" s="97">
        <v>50</v>
      </c>
      <c r="Z394" s="138">
        <v>10000</v>
      </c>
      <c r="AA394" s="34">
        <f>Y394*Z394</f>
        <v>500000</v>
      </c>
      <c r="AB394" s="177" t="s">
        <v>153</v>
      </c>
      <c r="AC394" s="97">
        <v>100</v>
      </c>
      <c r="AD394" s="138">
        <v>10000</v>
      </c>
      <c r="AE394" s="34">
        <f>AC394*AD394</f>
        <v>1000000</v>
      </c>
    </row>
    <row r="395" spans="1:31" ht="12.75" thickBot="1">
      <c r="A395" s="93" t="s">
        <v>148</v>
      </c>
      <c r="B395" s="80" t="s">
        <v>38</v>
      </c>
      <c r="C395" s="80"/>
      <c r="D395" s="80"/>
      <c r="E395" s="80"/>
      <c r="F395" s="80"/>
      <c r="G395" s="80"/>
      <c r="H395" s="305"/>
      <c r="I395" s="76"/>
      <c r="J395" s="76"/>
      <c r="K395" s="306"/>
      <c r="L395" s="254"/>
      <c r="M395" s="263"/>
      <c r="N395" s="218"/>
      <c r="O395" s="81"/>
      <c r="P395" s="275"/>
      <c r="Q395" s="183"/>
      <c r="R395" s="138"/>
      <c r="S395" s="220"/>
      <c r="T395" s="251"/>
      <c r="U395" s="100"/>
      <c r="V395" s="190"/>
      <c r="W395" s="143"/>
      <c r="X395" s="179"/>
      <c r="Y395" s="100"/>
      <c r="Z395" s="190"/>
      <c r="AA395" s="143"/>
      <c r="AB395" s="179"/>
      <c r="AC395" s="100"/>
      <c r="AD395" s="190"/>
      <c r="AE395" s="143"/>
    </row>
    <row r="396" spans="1:31" ht="12.75" thickTop="1">
      <c r="A396" s="94"/>
      <c r="B396" s="82" t="s">
        <v>39</v>
      </c>
      <c r="C396" s="82"/>
      <c r="D396" s="82"/>
      <c r="E396" s="82"/>
      <c r="F396" s="82"/>
      <c r="G396" s="82"/>
      <c r="H396" s="313">
        <f>SUM(H388:H395)</f>
        <v>0</v>
      </c>
      <c r="I396" s="282">
        <f>SUM(I388:I395)</f>
        <v>0</v>
      </c>
      <c r="J396" s="282">
        <f>SUM(J388:J395)</f>
        <v>0</v>
      </c>
      <c r="K396" s="314">
        <f>SUM(K388:K395)</f>
        <v>180000</v>
      </c>
      <c r="L396" s="255" t="s">
        <v>140</v>
      </c>
      <c r="M396" s="265">
        <f>SUM(M388:M395)</f>
        <v>3000</v>
      </c>
      <c r="N396" s="221">
        <f>O396/M396</f>
        <v>60</v>
      </c>
      <c r="O396" s="83">
        <f>SUM(O388:O395)</f>
        <v>180000</v>
      </c>
      <c r="P396" s="279" t="s">
        <v>140</v>
      </c>
      <c r="Q396" s="265">
        <f>SUM(Q388:Q395)</f>
        <v>3000</v>
      </c>
      <c r="R396" s="282">
        <f>S396/Q396</f>
        <v>60</v>
      </c>
      <c r="S396" s="222">
        <f>SUM(S388:S395)</f>
        <v>180000</v>
      </c>
      <c r="T396" s="449" t="s">
        <v>139</v>
      </c>
      <c r="U396" s="181">
        <f>SUM(U388:U395)</f>
        <v>3007</v>
      </c>
      <c r="V396" s="450">
        <f>W396/U396</f>
        <v>83.13934153641503</v>
      </c>
      <c r="W396" s="182">
        <f>SUM(W388:W395)</f>
        <v>250000</v>
      </c>
      <c r="X396" s="471" t="s">
        <v>139</v>
      </c>
      <c r="Y396" s="181">
        <f>SUM(Y388:Y395)</f>
        <v>3050</v>
      </c>
      <c r="Z396" s="450">
        <f>AA396/Y396</f>
        <v>222.95081967213116</v>
      </c>
      <c r="AA396" s="182">
        <f>SUM(AA388:AA395)</f>
        <v>680000</v>
      </c>
      <c r="AB396" s="471" t="s">
        <v>139</v>
      </c>
      <c r="AC396" s="181">
        <f>SUM(AC388:AC395)</f>
        <v>3100</v>
      </c>
      <c r="AD396" s="450">
        <f>AE396/AC396</f>
        <v>380.64516129032256</v>
      </c>
      <c r="AE396" s="182">
        <f>SUM(AE388:AE395)</f>
        <v>1180000</v>
      </c>
    </row>
    <row r="397" spans="1:31" ht="12.75" thickBot="1">
      <c r="A397" s="93"/>
      <c r="B397" s="80"/>
      <c r="C397" s="80"/>
      <c r="D397" s="80"/>
      <c r="E397" s="80"/>
      <c r="F397" s="80"/>
      <c r="G397" s="80"/>
      <c r="H397" s="305"/>
      <c r="I397" s="218"/>
      <c r="J397" s="218"/>
      <c r="K397" s="315"/>
      <c r="L397" s="254"/>
      <c r="M397" s="263"/>
      <c r="N397" s="218"/>
      <c r="O397" s="81"/>
      <c r="P397" s="280"/>
      <c r="Q397" s="263"/>
      <c r="R397" s="218"/>
      <c r="S397" s="219"/>
      <c r="T397" s="251"/>
      <c r="U397" s="183"/>
      <c r="V397" s="190"/>
      <c r="W397" s="220"/>
      <c r="X397" s="179"/>
      <c r="Y397" s="183"/>
      <c r="Z397" s="190"/>
      <c r="AA397" s="220"/>
      <c r="AB397" s="179"/>
      <c r="AC397" s="183"/>
      <c r="AD397" s="190"/>
      <c r="AE397" s="220"/>
    </row>
    <row r="398" spans="1:31" ht="12.75" thickTop="1">
      <c r="A398" s="94"/>
      <c r="B398" s="9" t="s">
        <v>410</v>
      </c>
      <c r="C398" s="9"/>
      <c r="D398" s="98"/>
      <c r="E398" s="98"/>
      <c r="F398" s="98"/>
      <c r="G398" s="98"/>
      <c r="H398" s="313">
        <f>H38+H90+H379+H386+H396</f>
        <v>565000</v>
      </c>
      <c r="I398" s="282">
        <f>I38+I90+I379+I386+I396</f>
        <v>506400</v>
      </c>
      <c r="J398" s="282">
        <f>J38+J90+J379+J386+J396</f>
        <v>0</v>
      </c>
      <c r="K398" s="314">
        <f>K38+K83+K90+K379+K386+K396</f>
        <v>1778944</v>
      </c>
      <c r="L398" s="255" t="s">
        <v>9</v>
      </c>
      <c r="M398" s="181">
        <f>M83+M379</f>
        <v>139.00000000000003</v>
      </c>
      <c r="N398" s="246">
        <f>O398/M398</f>
        <v>12798.158273381292</v>
      </c>
      <c r="O398" s="425">
        <f>O38+O83+O90+O379+O386+O396</f>
        <v>1778944</v>
      </c>
      <c r="P398" s="279" t="s">
        <v>9</v>
      </c>
      <c r="Q398" s="265">
        <f>Q83+Q379</f>
        <v>139.00000000000003</v>
      </c>
      <c r="R398" s="246">
        <f>S398/Q398</f>
        <v>12798.158273381292</v>
      </c>
      <c r="S398" s="252">
        <f>S38+S83+S90+S379+S386+S396</f>
        <v>1778944</v>
      </c>
      <c r="T398" s="449" t="s">
        <v>9</v>
      </c>
      <c r="U398" s="453">
        <f>U83+U379</f>
        <v>139.00000000000003</v>
      </c>
      <c r="V398" s="249">
        <f>W398/U398</f>
        <v>16529.194244604314</v>
      </c>
      <c r="W398" s="182">
        <f>W38+W83+W90+W379+W386+W396</f>
        <v>2297558</v>
      </c>
      <c r="X398" s="471" t="s">
        <v>9</v>
      </c>
      <c r="Y398" s="181">
        <f>Y83+Y379</f>
        <v>139.00000000000003</v>
      </c>
      <c r="Z398" s="249">
        <f>AA398/Y398</f>
        <v>19622.71942446043</v>
      </c>
      <c r="AA398" s="182">
        <f>AA38+AA83+AA90+AA379+AA386+AA396</f>
        <v>2727558</v>
      </c>
      <c r="AB398" s="471" t="s">
        <v>9</v>
      </c>
      <c r="AC398" s="181">
        <f>AC83+AC379</f>
        <v>139.00000000000003</v>
      </c>
      <c r="AD398" s="249">
        <f>AE398/AC398</f>
        <v>23219.8417266187</v>
      </c>
      <c r="AE398" s="182">
        <f>AE38+AE83+AE90+AE379+AE386+AE396</f>
        <v>3227558</v>
      </c>
    </row>
    <row r="399" spans="1:31" ht="12">
      <c r="A399" s="85"/>
      <c r="B399" s="15"/>
      <c r="C399" s="15"/>
      <c r="D399" s="15"/>
      <c r="E399" s="15"/>
      <c r="F399" s="15"/>
      <c r="G399" s="15"/>
      <c r="H399" s="300"/>
      <c r="I399" s="76"/>
      <c r="J399" s="76"/>
      <c r="K399" s="301"/>
      <c r="L399" s="124"/>
      <c r="M399" s="53"/>
      <c r="N399" s="76"/>
      <c r="O399" s="31"/>
      <c r="P399" s="107"/>
      <c r="Q399" s="178"/>
      <c r="R399" s="138"/>
      <c r="S399" s="139"/>
      <c r="T399" s="140"/>
      <c r="U399" s="97"/>
      <c r="V399" s="97"/>
      <c r="W399" s="34"/>
      <c r="X399" s="177"/>
      <c r="Y399" s="97"/>
      <c r="Z399" s="97"/>
      <c r="AA399" s="34"/>
      <c r="AB399" s="177"/>
      <c r="AC399" s="97"/>
      <c r="AD399" s="97"/>
      <c r="AE399" s="34"/>
    </row>
    <row r="400" spans="1:31" ht="12">
      <c r="A400" s="85">
        <v>7</v>
      </c>
      <c r="B400" s="21" t="s">
        <v>40</v>
      </c>
      <c r="C400" s="21"/>
      <c r="D400" s="15"/>
      <c r="E400" s="15"/>
      <c r="F400" s="15"/>
      <c r="G400" s="15"/>
      <c r="H400" s="300"/>
      <c r="I400" s="76"/>
      <c r="J400" s="76"/>
      <c r="K400" s="302"/>
      <c r="L400" s="124"/>
      <c r="M400" s="53"/>
      <c r="N400" s="76"/>
      <c r="O400" s="31"/>
      <c r="P400" s="177"/>
      <c r="Q400" s="178"/>
      <c r="R400" s="138"/>
      <c r="S400" s="139"/>
      <c r="T400" s="140"/>
      <c r="U400" s="97"/>
      <c r="V400" s="97"/>
      <c r="W400" s="89"/>
      <c r="X400" s="177"/>
      <c r="Y400" s="97"/>
      <c r="Z400" s="97"/>
      <c r="AA400" s="89"/>
      <c r="AB400" s="177"/>
      <c r="AC400" s="97"/>
      <c r="AD400" s="97"/>
      <c r="AE400" s="89"/>
    </row>
    <row r="401" spans="1:31" ht="12">
      <c r="A401" s="85" t="s">
        <v>411</v>
      </c>
      <c r="B401" s="22" t="s">
        <v>41</v>
      </c>
      <c r="C401" s="22"/>
      <c r="D401" s="15"/>
      <c r="E401" s="15"/>
      <c r="F401" s="15"/>
      <c r="G401" s="137">
        <v>0.1</v>
      </c>
      <c r="H401" s="300">
        <f>$H$398*G401</f>
        <v>56500</v>
      </c>
      <c r="I401" s="76">
        <f>$I$398*G401</f>
        <v>50640</v>
      </c>
      <c r="J401" s="76">
        <f>$J$398*G401</f>
        <v>0</v>
      </c>
      <c r="K401" s="309">
        <f>$K$398*G401</f>
        <v>177894.40000000002</v>
      </c>
      <c r="L401" s="247"/>
      <c r="M401" s="53"/>
      <c r="N401" s="76"/>
      <c r="O401" s="31">
        <f>K401</f>
        <v>177894.40000000002</v>
      </c>
      <c r="P401" s="439">
        <v>0.1</v>
      </c>
      <c r="Q401" s="178"/>
      <c r="R401" s="138"/>
      <c r="S401" s="139">
        <f>$S$398*P401</f>
        <v>177894.40000000002</v>
      </c>
      <c r="T401" s="439">
        <v>0.1</v>
      </c>
      <c r="U401" s="138"/>
      <c r="V401" s="138"/>
      <c r="W401" s="139">
        <f>$W$398*(T401)</f>
        <v>229755.80000000002</v>
      </c>
      <c r="X401" s="439">
        <v>0.1</v>
      </c>
      <c r="Y401" s="138"/>
      <c r="Z401" s="138"/>
      <c r="AA401" s="139">
        <f aca="true" t="shared" si="13" ref="AA401:AA408">$AA$398*(X401)</f>
        <v>272755.8</v>
      </c>
      <c r="AB401" s="439">
        <v>0.1</v>
      </c>
      <c r="AC401" s="138"/>
      <c r="AD401" s="138"/>
      <c r="AE401" s="139">
        <f>$AE$398*(AB401)</f>
        <v>322755.80000000005</v>
      </c>
    </row>
    <row r="402" spans="1:31" ht="12">
      <c r="A402" s="85" t="s">
        <v>412</v>
      </c>
      <c r="B402" s="15" t="s">
        <v>42</v>
      </c>
      <c r="C402" s="15"/>
      <c r="D402" s="15"/>
      <c r="E402" s="15"/>
      <c r="F402" s="15"/>
      <c r="G402" s="137"/>
      <c r="H402" s="300"/>
      <c r="I402" s="76"/>
      <c r="J402" s="76"/>
      <c r="K402" s="309">
        <v>200000</v>
      </c>
      <c r="L402" s="247"/>
      <c r="M402" s="53"/>
      <c r="N402" s="76"/>
      <c r="O402" s="31">
        <f aca="true" t="shared" si="14" ref="O402:O407">K402</f>
        <v>200000</v>
      </c>
      <c r="P402" s="439">
        <v>0.1</v>
      </c>
      <c r="Q402" s="178"/>
      <c r="R402" s="138"/>
      <c r="S402" s="139">
        <f aca="true" t="shared" si="15" ref="S402:S408">$S$398*P402</f>
        <v>177894.40000000002</v>
      </c>
      <c r="T402" s="439">
        <v>0.1</v>
      </c>
      <c r="U402" s="138"/>
      <c r="V402" s="138"/>
      <c r="W402" s="139">
        <f aca="true" t="shared" si="16" ref="W402:W408">$W$398*(T402)</f>
        <v>229755.80000000002</v>
      </c>
      <c r="X402" s="439">
        <v>0.1</v>
      </c>
      <c r="Y402" s="138"/>
      <c r="Z402" s="138"/>
      <c r="AA402" s="139">
        <f t="shared" si="13"/>
        <v>272755.8</v>
      </c>
      <c r="AB402" s="439">
        <v>0.1</v>
      </c>
      <c r="AC402" s="138"/>
      <c r="AD402" s="138"/>
      <c r="AE402" s="139">
        <f aca="true" t="shared" si="17" ref="AE402:AE408">$AE$398*(AB402)</f>
        <v>322755.80000000005</v>
      </c>
    </row>
    <row r="403" spans="1:31" ht="12">
      <c r="A403" s="85" t="s">
        <v>413</v>
      </c>
      <c r="B403" s="15" t="s">
        <v>43</v>
      </c>
      <c r="C403" s="15"/>
      <c r="D403" s="15"/>
      <c r="E403" s="15"/>
      <c r="F403" s="15"/>
      <c r="G403" s="86"/>
      <c r="H403" s="300"/>
      <c r="I403" s="76"/>
      <c r="J403" s="76"/>
      <c r="K403" s="309"/>
      <c r="L403" s="247"/>
      <c r="M403" s="53"/>
      <c r="N403" s="76"/>
      <c r="O403" s="31"/>
      <c r="P403" s="439">
        <v>0.03</v>
      </c>
      <c r="Q403" s="178"/>
      <c r="R403" s="138"/>
      <c r="S403" s="139">
        <f t="shared" si="15"/>
        <v>53368.32</v>
      </c>
      <c r="T403" s="439">
        <v>0.03</v>
      </c>
      <c r="U403" s="138"/>
      <c r="V403" s="138"/>
      <c r="W403" s="139">
        <f t="shared" si="16"/>
        <v>68926.73999999999</v>
      </c>
      <c r="X403" s="439">
        <v>0.03</v>
      </c>
      <c r="Y403" s="138"/>
      <c r="Z403" s="138"/>
      <c r="AA403" s="139">
        <f t="shared" si="13"/>
        <v>81826.73999999999</v>
      </c>
      <c r="AB403" s="439">
        <v>0.03</v>
      </c>
      <c r="AC403" s="138"/>
      <c r="AD403" s="138"/>
      <c r="AE403" s="139">
        <f>$AE$398*(AB403)</f>
        <v>96826.73999999999</v>
      </c>
    </row>
    <row r="404" spans="1:31" ht="12">
      <c r="A404" s="85" t="s">
        <v>414</v>
      </c>
      <c r="B404" s="15" t="s">
        <v>44</v>
      </c>
      <c r="C404" s="15"/>
      <c r="D404" s="15"/>
      <c r="E404" s="15"/>
      <c r="F404" s="15"/>
      <c r="G404" s="137">
        <v>0.05</v>
      </c>
      <c r="H404" s="300">
        <f>$H$398*G404</f>
        <v>28250</v>
      </c>
      <c r="I404" s="76">
        <f>$I$398*G404</f>
        <v>25320</v>
      </c>
      <c r="J404" s="76">
        <f>$J$398*G404</f>
        <v>0</v>
      </c>
      <c r="K404" s="309">
        <f>$K$398*G404</f>
        <v>88947.20000000001</v>
      </c>
      <c r="L404" s="247"/>
      <c r="M404" s="53"/>
      <c r="N404" s="76"/>
      <c r="O404" s="31">
        <f t="shared" si="14"/>
        <v>88947.20000000001</v>
      </c>
      <c r="P404" s="439">
        <v>0.05</v>
      </c>
      <c r="Q404" s="178"/>
      <c r="R404" s="138"/>
      <c r="S404" s="139">
        <f t="shared" si="15"/>
        <v>88947.20000000001</v>
      </c>
      <c r="T404" s="439">
        <v>0.05</v>
      </c>
      <c r="U404" s="138"/>
      <c r="V404" s="138"/>
      <c r="W404" s="139">
        <f t="shared" si="16"/>
        <v>114877.90000000001</v>
      </c>
      <c r="X404" s="439">
        <v>0.05</v>
      </c>
      <c r="Y404" s="138"/>
      <c r="Z404" s="138"/>
      <c r="AA404" s="139">
        <f t="shared" si="13"/>
        <v>136377.9</v>
      </c>
      <c r="AB404" s="439">
        <v>0.05</v>
      </c>
      <c r="AC404" s="138"/>
      <c r="AD404" s="138"/>
      <c r="AE404" s="139">
        <f t="shared" si="17"/>
        <v>161377.90000000002</v>
      </c>
    </row>
    <row r="405" spans="1:31" ht="12">
      <c r="A405" s="85" t="s">
        <v>415</v>
      </c>
      <c r="B405" s="15" t="s">
        <v>45</v>
      </c>
      <c r="C405" s="15"/>
      <c r="D405" s="15"/>
      <c r="E405" s="15"/>
      <c r="F405" s="15"/>
      <c r="G405" s="137"/>
      <c r="H405" s="300"/>
      <c r="I405" s="76"/>
      <c r="J405" s="76"/>
      <c r="K405" s="309"/>
      <c r="L405" s="247"/>
      <c r="M405" s="53"/>
      <c r="N405" s="76"/>
      <c r="O405" s="31"/>
      <c r="P405" s="439">
        <v>0.15</v>
      </c>
      <c r="Q405" s="178"/>
      <c r="R405" s="138"/>
      <c r="S405" s="139">
        <f t="shared" si="15"/>
        <v>266841.6</v>
      </c>
      <c r="T405" s="439">
        <v>0.15</v>
      </c>
      <c r="U405" s="138"/>
      <c r="V405" s="138"/>
      <c r="W405" s="139">
        <f t="shared" si="16"/>
        <v>344633.7</v>
      </c>
      <c r="X405" s="439">
        <v>0.15</v>
      </c>
      <c r="Y405" s="138"/>
      <c r="Z405" s="138"/>
      <c r="AA405" s="139">
        <f t="shared" si="13"/>
        <v>409133.7</v>
      </c>
      <c r="AB405" s="439">
        <v>0.15</v>
      </c>
      <c r="AC405" s="138"/>
      <c r="AD405" s="138"/>
      <c r="AE405" s="139">
        <f t="shared" si="17"/>
        <v>484133.69999999995</v>
      </c>
    </row>
    <row r="406" spans="1:31" ht="12">
      <c r="A406" s="85" t="s">
        <v>416</v>
      </c>
      <c r="B406" s="15" t="s">
        <v>46</v>
      </c>
      <c r="C406" s="15"/>
      <c r="D406" s="15"/>
      <c r="E406" s="15"/>
      <c r="F406" s="15"/>
      <c r="G406" s="137"/>
      <c r="H406" s="300"/>
      <c r="I406" s="76"/>
      <c r="J406" s="76"/>
      <c r="K406" s="309"/>
      <c r="L406" s="247"/>
      <c r="M406" s="53"/>
      <c r="N406" s="76"/>
      <c r="O406" s="31"/>
      <c r="P406" s="439">
        <v>0.1</v>
      </c>
      <c r="Q406" s="178"/>
      <c r="R406" s="138"/>
      <c r="S406" s="139">
        <f t="shared" si="15"/>
        <v>177894.40000000002</v>
      </c>
      <c r="T406" s="439">
        <v>0.1</v>
      </c>
      <c r="U406" s="138"/>
      <c r="V406" s="138"/>
      <c r="W406" s="139">
        <f t="shared" si="16"/>
        <v>229755.80000000002</v>
      </c>
      <c r="X406" s="439">
        <v>0.1</v>
      </c>
      <c r="Y406" s="138"/>
      <c r="Z406" s="138"/>
      <c r="AA406" s="139">
        <f t="shared" si="13"/>
        <v>272755.8</v>
      </c>
      <c r="AB406" s="439">
        <v>0.1</v>
      </c>
      <c r="AC406" s="138"/>
      <c r="AD406" s="138"/>
      <c r="AE406" s="139">
        <f t="shared" si="17"/>
        <v>322755.80000000005</v>
      </c>
    </row>
    <row r="407" spans="1:31" ht="12">
      <c r="A407" s="85" t="s">
        <v>417</v>
      </c>
      <c r="B407" s="15" t="s">
        <v>47</v>
      </c>
      <c r="C407" s="15"/>
      <c r="D407" s="15"/>
      <c r="E407" s="15"/>
      <c r="F407" s="15"/>
      <c r="G407" s="137">
        <v>0.1</v>
      </c>
      <c r="H407" s="300">
        <f>$H$398*G407</f>
        <v>56500</v>
      </c>
      <c r="I407" s="76">
        <f>$I$398*G407</f>
        <v>50640</v>
      </c>
      <c r="J407" s="76">
        <f>$J$398*G407</f>
        <v>0</v>
      </c>
      <c r="K407" s="309">
        <f>$K$398*G407</f>
        <v>177894.40000000002</v>
      </c>
      <c r="L407" s="247"/>
      <c r="M407" s="53"/>
      <c r="N407" s="76"/>
      <c r="O407" s="31">
        <f t="shared" si="14"/>
        <v>177894.40000000002</v>
      </c>
      <c r="P407" s="439">
        <v>0.1</v>
      </c>
      <c r="Q407" s="178"/>
      <c r="R407" s="138"/>
      <c r="S407" s="139">
        <f t="shared" si="15"/>
        <v>177894.40000000002</v>
      </c>
      <c r="T407" s="439">
        <v>0.1</v>
      </c>
      <c r="U407" s="138"/>
      <c r="V407" s="138"/>
      <c r="W407" s="139">
        <f t="shared" si="16"/>
        <v>229755.80000000002</v>
      </c>
      <c r="X407" s="439">
        <v>0.1</v>
      </c>
      <c r="Y407" s="138"/>
      <c r="Z407" s="138"/>
      <c r="AA407" s="139">
        <f t="shared" si="13"/>
        <v>272755.8</v>
      </c>
      <c r="AB407" s="439">
        <v>0.1</v>
      </c>
      <c r="AC407" s="138"/>
      <c r="AD407" s="138"/>
      <c r="AE407" s="139">
        <f t="shared" si="17"/>
        <v>322755.80000000005</v>
      </c>
    </row>
    <row r="408" spans="1:31" ht="12">
      <c r="A408" s="85" t="s">
        <v>418</v>
      </c>
      <c r="B408" s="15" t="s">
        <v>136</v>
      </c>
      <c r="C408" s="15"/>
      <c r="D408" s="15"/>
      <c r="E408" s="15"/>
      <c r="F408" s="15"/>
      <c r="G408" s="99"/>
      <c r="H408" s="300"/>
      <c r="I408" s="76"/>
      <c r="J408" s="76"/>
      <c r="K408" s="309"/>
      <c r="L408" s="247"/>
      <c r="M408" s="53"/>
      <c r="N408" s="76"/>
      <c r="O408" s="31"/>
      <c r="P408" s="439">
        <v>0.03</v>
      </c>
      <c r="Q408" s="178"/>
      <c r="R408" s="138"/>
      <c r="S408" s="139">
        <f t="shared" si="15"/>
        <v>53368.32</v>
      </c>
      <c r="T408" s="439">
        <v>0.03</v>
      </c>
      <c r="U408" s="138"/>
      <c r="V408" s="138"/>
      <c r="W408" s="139">
        <f t="shared" si="16"/>
        <v>68926.73999999999</v>
      </c>
      <c r="X408" s="439">
        <v>0.03</v>
      </c>
      <c r="Y408" s="138"/>
      <c r="Z408" s="138"/>
      <c r="AA408" s="139">
        <f t="shared" si="13"/>
        <v>81826.73999999999</v>
      </c>
      <c r="AB408" s="439">
        <v>0.03</v>
      </c>
      <c r="AC408" s="138"/>
      <c r="AD408" s="138"/>
      <c r="AE408" s="139">
        <f t="shared" si="17"/>
        <v>96826.73999999999</v>
      </c>
    </row>
    <row r="409" spans="1:31" ht="12.75" thickBot="1">
      <c r="A409" s="93"/>
      <c r="B409" s="80"/>
      <c r="C409" s="80"/>
      <c r="D409" s="80"/>
      <c r="E409" s="80"/>
      <c r="F409" s="80"/>
      <c r="G409" s="80"/>
      <c r="H409" s="305"/>
      <c r="I409" s="218"/>
      <c r="J409" s="218"/>
      <c r="K409" s="415"/>
      <c r="L409" s="254"/>
      <c r="M409" s="263"/>
      <c r="N409" s="218"/>
      <c r="O409" s="81"/>
      <c r="P409" s="179"/>
      <c r="Q409" s="183"/>
      <c r="R409" s="190"/>
      <c r="S409" s="220"/>
      <c r="T409" s="251"/>
      <c r="U409" s="100"/>
      <c r="V409" s="451"/>
      <c r="W409" s="143"/>
      <c r="X409" s="179"/>
      <c r="Y409" s="100"/>
      <c r="Z409" s="451"/>
      <c r="AA409" s="143"/>
      <c r="AB409" s="179"/>
      <c r="AC409" s="100"/>
      <c r="AD409" s="451"/>
      <c r="AE409" s="143"/>
    </row>
    <row r="410" spans="1:31" ht="12.75" thickTop="1">
      <c r="A410" s="129"/>
      <c r="B410" s="91" t="s">
        <v>48</v>
      </c>
      <c r="C410" s="82"/>
      <c r="D410" s="82"/>
      <c r="E410" s="15"/>
      <c r="F410" s="15"/>
      <c r="G410" s="92"/>
      <c r="H410" s="307">
        <f>SUM(H400:H408)</f>
        <v>141250</v>
      </c>
      <c r="I410" s="282">
        <f>SUM(I400:I408)</f>
        <v>126600</v>
      </c>
      <c r="J410" s="282">
        <f>SUM(J400:J408)</f>
        <v>0</v>
      </c>
      <c r="K410" s="308">
        <f>SUM(K400:K408)</f>
        <v>644736</v>
      </c>
      <c r="L410" s="124"/>
      <c r="M410" s="53"/>
      <c r="N410" s="130">
        <f>O410/O398</f>
        <v>0.362426248381062</v>
      </c>
      <c r="O410" s="92">
        <f>SUM(O400:O408)</f>
        <v>644736</v>
      </c>
      <c r="P410" s="278"/>
      <c r="Q410" s="185"/>
      <c r="R410" s="130">
        <f>S410/S398</f>
        <v>0.6600000000000001</v>
      </c>
      <c r="S410" s="77">
        <f>SUM(S400:S408)</f>
        <v>1174103.0400000003</v>
      </c>
      <c r="T410" s="447"/>
      <c r="U410" s="129"/>
      <c r="V410" s="130">
        <f>W410/W398</f>
        <v>0.6600000000000001</v>
      </c>
      <c r="W410" s="452">
        <f>SUM(W400:W408)</f>
        <v>1516388.2800000003</v>
      </c>
      <c r="X410" s="184"/>
      <c r="Y410" s="129"/>
      <c r="Z410" s="472">
        <f>AA410/AA398</f>
        <v>0.66</v>
      </c>
      <c r="AA410" s="187">
        <f>SUM(AA400:AA408)</f>
        <v>1800188.28</v>
      </c>
      <c r="AB410" s="184"/>
      <c r="AC410" s="129"/>
      <c r="AD410" s="472">
        <f>AE410/AE398</f>
        <v>0.66</v>
      </c>
      <c r="AE410" s="187">
        <f>SUM(AE400:AE408)</f>
        <v>2130188.2800000003</v>
      </c>
    </row>
    <row r="411" spans="1:31" ht="12.75" thickBot="1">
      <c r="A411" s="100"/>
      <c r="B411" s="80"/>
      <c r="C411" s="80"/>
      <c r="D411" s="80"/>
      <c r="E411" s="112"/>
      <c r="F411" s="112"/>
      <c r="G411" s="112"/>
      <c r="H411" s="305"/>
      <c r="I411" s="218"/>
      <c r="J411" s="316"/>
      <c r="K411" s="317"/>
      <c r="L411" s="259"/>
      <c r="M411" s="212"/>
      <c r="N411" s="218"/>
      <c r="O411" s="131"/>
      <c r="P411" s="275"/>
      <c r="Q411" s="183"/>
      <c r="R411" s="190"/>
      <c r="S411" s="429"/>
      <c r="T411" s="251"/>
      <c r="U411" s="100"/>
      <c r="V411" s="100"/>
      <c r="W411" s="454"/>
      <c r="X411" s="344"/>
      <c r="Y411" s="343"/>
      <c r="Z411" s="343"/>
      <c r="AA411" s="360"/>
      <c r="AB411" s="179"/>
      <c r="AC411" s="100"/>
      <c r="AD411" s="100"/>
      <c r="AE411" s="454"/>
    </row>
    <row r="412" spans="1:31" ht="12.75" thickTop="1">
      <c r="A412" s="109" t="s">
        <v>113</v>
      </c>
      <c r="B412" s="9"/>
      <c r="C412" s="9"/>
      <c r="D412" s="9"/>
      <c r="E412" s="98"/>
      <c r="F412" s="98"/>
      <c r="G412" s="82"/>
      <c r="H412" s="313">
        <f>H398+H410</f>
        <v>706250</v>
      </c>
      <c r="I412" s="221">
        <f>I398+I410</f>
        <v>633000</v>
      </c>
      <c r="J412" s="221">
        <f>J398+J410</f>
        <v>0</v>
      </c>
      <c r="K412" s="318">
        <f>K398+K410</f>
        <v>2423680</v>
      </c>
      <c r="L412" s="255"/>
      <c r="M412" s="266"/>
      <c r="N412" s="221"/>
      <c r="O412" s="83">
        <f>+O410+O398</f>
        <v>2423680</v>
      </c>
      <c r="P412" s="276"/>
      <c r="Q412" s="181"/>
      <c r="R412" s="138"/>
      <c r="S412" s="182">
        <f>+S410+S398</f>
        <v>2953047.04</v>
      </c>
      <c r="T412" s="449"/>
      <c r="U412" s="455"/>
      <c r="V412" s="88"/>
      <c r="W412" s="456">
        <f>+W410+W398</f>
        <v>3813946.2800000003</v>
      </c>
      <c r="X412" s="358"/>
      <c r="Y412" s="361"/>
      <c r="Z412" s="362"/>
      <c r="AA412" s="456">
        <f>+AA410+AA398</f>
        <v>4527746.28</v>
      </c>
      <c r="AB412" s="471"/>
      <c r="AC412" s="455"/>
      <c r="AD412" s="494"/>
      <c r="AE412" s="456">
        <f>+AE410+AE398</f>
        <v>5357746.28</v>
      </c>
    </row>
    <row r="413" spans="1:31" ht="12.75" thickBot="1">
      <c r="A413" s="85"/>
      <c r="B413" s="15"/>
      <c r="C413" s="15"/>
      <c r="D413" s="15"/>
      <c r="E413" s="15"/>
      <c r="F413" s="15"/>
      <c r="G413" s="15"/>
      <c r="H413" s="303"/>
      <c r="I413" s="73"/>
      <c r="J413" s="73"/>
      <c r="K413" s="319"/>
      <c r="L413" s="124"/>
      <c r="M413" s="53"/>
      <c r="N413" s="76"/>
      <c r="O413" s="31"/>
      <c r="P413" s="107"/>
      <c r="Q413" s="178"/>
      <c r="R413" s="189"/>
      <c r="S413" s="139"/>
      <c r="T413" s="273"/>
      <c r="U413" s="235"/>
      <c r="V413" s="363"/>
      <c r="W413" s="236"/>
      <c r="X413" s="231"/>
      <c r="Y413" s="235"/>
      <c r="Z413" s="233"/>
      <c r="AA413" s="236"/>
      <c r="AB413" s="231"/>
      <c r="AC413" s="235"/>
      <c r="AD413" s="233"/>
      <c r="AE413" s="236"/>
    </row>
    <row r="414" spans="1:31" ht="13.5" thickBot="1" thickTop="1">
      <c r="A414" s="110" t="s">
        <v>5</v>
      </c>
      <c r="B414" s="47"/>
      <c r="C414" s="47"/>
      <c r="D414" s="47"/>
      <c r="E414" s="47"/>
      <c r="F414" s="47"/>
      <c r="G414" s="47"/>
      <c r="H414" s="320"/>
      <c r="I414" s="223"/>
      <c r="J414" s="223"/>
      <c r="K414" s="321">
        <f>K412+'Operating Cost Estimate'!H55</f>
        <v>3104305</v>
      </c>
      <c r="L414" s="260"/>
      <c r="M414" s="267"/>
      <c r="N414" s="223"/>
      <c r="O414" s="270">
        <f>O412+'Operating Cost Estimate'!H55</f>
        <v>3104305</v>
      </c>
      <c r="P414" s="281"/>
      <c r="Q414" s="191"/>
      <c r="R414" s="190"/>
      <c r="S414" s="192">
        <f>S412+'Operating Cost Estimate'!$J$55</f>
        <v>3856917.04</v>
      </c>
      <c r="T414" s="365"/>
      <c r="U414" s="364"/>
      <c r="V414" s="238"/>
      <c r="W414" s="192">
        <f>W412+'Operating Cost Estimate'!$L$55</f>
        <v>9216416.280000001</v>
      </c>
      <c r="X414" s="366"/>
      <c r="Y414" s="364"/>
      <c r="Z414" s="367"/>
      <c r="AA414" s="192">
        <f>AA412+'Operating Cost Estimate'!$N$55</f>
        <v>34929076.28</v>
      </c>
      <c r="AB414" s="366"/>
      <c r="AC414" s="364"/>
      <c r="AD414" s="367"/>
      <c r="AE414" s="192">
        <f>AE412+'Operating Cost Estimate'!$P$55</f>
        <v>59783076.28</v>
      </c>
    </row>
    <row r="415" spans="1:31" ht="12.75" thickTop="1">
      <c r="A415" s="113"/>
      <c r="B415" s="56"/>
      <c r="C415" s="56"/>
      <c r="D415" s="56"/>
      <c r="E415" s="56"/>
      <c r="F415" s="56"/>
      <c r="G415" s="56"/>
      <c r="H415" s="132"/>
      <c r="I415" s="132"/>
      <c r="J415" s="132"/>
      <c r="K415" s="132"/>
      <c r="L415" s="56"/>
      <c r="M415" s="133"/>
      <c r="N415" s="132"/>
      <c r="O415" s="132"/>
      <c r="P415" s="440"/>
      <c r="Q415" s="193"/>
      <c r="R415" s="194"/>
      <c r="S415" s="441"/>
      <c r="T415" s="368"/>
      <c r="U415" s="369"/>
      <c r="V415" s="371"/>
      <c r="W415" s="370"/>
      <c r="X415" s="368"/>
      <c r="Y415" s="369"/>
      <c r="Z415" s="371"/>
      <c r="AA415" s="370"/>
      <c r="AB415" s="368"/>
      <c r="AC415" s="369"/>
      <c r="AD415" s="371"/>
      <c r="AE415" s="370"/>
    </row>
    <row r="416" spans="1:31" ht="12">
      <c r="A416" s="85"/>
      <c r="B416" s="15"/>
      <c r="C416" s="15"/>
      <c r="D416" s="15"/>
      <c r="E416" s="15"/>
      <c r="F416" s="15"/>
      <c r="G416" s="15"/>
      <c r="H416" s="300"/>
      <c r="I416" s="76"/>
      <c r="J416" s="76"/>
      <c r="K416" s="302"/>
      <c r="L416" s="30"/>
      <c r="M416" s="103"/>
      <c r="N416" s="76"/>
      <c r="O416" s="271"/>
      <c r="P416" s="177"/>
      <c r="Q416" s="178"/>
      <c r="R416" s="138"/>
      <c r="S416" s="34"/>
      <c r="T416" s="273"/>
      <c r="U416" s="232"/>
      <c r="V416" s="238"/>
      <c r="W416" s="236"/>
      <c r="X416" s="231"/>
      <c r="Y416" s="232"/>
      <c r="Z416" s="238"/>
      <c r="AA416" s="236"/>
      <c r="AB416" s="231"/>
      <c r="AC416" s="232"/>
      <c r="AD416" s="238"/>
      <c r="AE416" s="236"/>
    </row>
    <row r="417" spans="1:31" ht="12">
      <c r="A417" s="48" t="s">
        <v>419</v>
      </c>
      <c r="B417" s="15"/>
      <c r="C417" s="15"/>
      <c r="D417" s="15"/>
      <c r="E417" s="15"/>
      <c r="F417" s="15"/>
      <c r="G417" s="15"/>
      <c r="H417" s="300"/>
      <c r="I417" s="76"/>
      <c r="J417" s="76"/>
      <c r="K417" s="302"/>
      <c r="L417" s="30"/>
      <c r="M417" s="103"/>
      <c r="N417" s="76"/>
      <c r="O417" s="271"/>
      <c r="P417" s="107"/>
      <c r="Q417" s="178"/>
      <c r="R417" s="250"/>
      <c r="S417" s="34"/>
      <c r="T417" s="273"/>
      <c r="U417" s="232"/>
      <c r="V417" s="237"/>
      <c r="W417" s="236"/>
      <c r="X417" s="231"/>
      <c r="Y417" s="232"/>
      <c r="Z417" s="237"/>
      <c r="AA417" s="236"/>
      <c r="AB417" s="177"/>
      <c r="AC417" s="178"/>
      <c r="AD417" s="141"/>
      <c r="AE417" s="34"/>
    </row>
    <row r="418" spans="1:31" ht="12">
      <c r="A418" s="85"/>
      <c r="B418" s="15"/>
      <c r="C418" s="15"/>
      <c r="D418" s="15"/>
      <c r="E418" s="15"/>
      <c r="F418" s="15"/>
      <c r="G418" s="15"/>
      <c r="H418" s="300"/>
      <c r="I418" s="76"/>
      <c r="J418" s="76"/>
      <c r="K418" s="302"/>
      <c r="L418" s="30"/>
      <c r="M418" s="103"/>
      <c r="N418" s="76"/>
      <c r="O418" s="31"/>
      <c r="P418" s="107"/>
      <c r="Q418" s="178"/>
      <c r="R418" s="250"/>
      <c r="S418" s="34"/>
      <c r="T418" s="273"/>
      <c r="U418" s="232"/>
      <c r="V418" s="237"/>
      <c r="W418" s="236"/>
      <c r="X418" s="231"/>
      <c r="Y418" s="232"/>
      <c r="Z418" s="237"/>
      <c r="AA418" s="236"/>
      <c r="AB418" s="177"/>
      <c r="AC418" s="178"/>
      <c r="AD418" s="141"/>
      <c r="AE418" s="34"/>
    </row>
    <row r="419" spans="1:31" ht="12">
      <c r="A419" s="85" t="s">
        <v>101</v>
      </c>
      <c r="B419" s="15" t="str">
        <f>B8</f>
        <v>Tailings Area Reclamation</v>
      </c>
      <c r="C419" s="15"/>
      <c r="D419" s="15"/>
      <c r="E419" s="15"/>
      <c r="F419" s="15"/>
      <c r="G419" s="15"/>
      <c r="H419" s="300"/>
      <c r="I419" s="76"/>
      <c r="J419" s="76"/>
      <c r="K419" s="302"/>
      <c r="L419" s="30"/>
      <c r="M419" s="54"/>
      <c r="N419" s="26"/>
      <c r="O419" s="31"/>
      <c r="P419" s="107"/>
      <c r="Q419" s="178"/>
      <c r="R419" s="250"/>
      <c r="S419" s="34"/>
      <c r="T419" s="273"/>
      <c r="U419" s="235"/>
      <c r="V419" s="238"/>
      <c r="W419" s="236"/>
      <c r="X419" s="231"/>
      <c r="Y419" s="235"/>
      <c r="Z419" s="238"/>
      <c r="AA419" s="236"/>
      <c r="AB419" s="177"/>
      <c r="AC419" s="97"/>
      <c r="AD419" s="88"/>
      <c r="AE419" s="34"/>
    </row>
    <row r="420" spans="1:31" ht="12">
      <c r="A420" s="85"/>
      <c r="B420" s="15"/>
      <c r="C420" s="15" t="str">
        <f>B9</f>
        <v>Tailings Storage Facility (Lower Slate Lake)</v>
      </c>
      <c r="D420" s="15"/>
      <c r="E420" s="15"/>
      <c r="F420" s="15"/>
      <c r="G420" s="15"/>
      <c r="H420" s="300">
        <f>H34*(1+$N$410)</f>
        <v>213900.92099582675</v>
      </c>
      <c r="I420" s="76">
        <f>I34*(1+$N$410)</f>
        <v>108994.09987048496</v>
      </c>
      <c r="J420" s="76">
        <f>J34*(1+$N$410)</f>
        <v>0</v>
      </c>
      <c r="K420" s="76">
        <f>K34*(1+$N$410)</f>
        <v>401234.5301482228</v>
      </c>
      <c r="L420" s="247" t="str">
        <f>L34</f>
        <v>cy</v>
      </c>
      <c r="M420" s="53">
        <f>M34</f>
        <v>10250</v>
      </c>
      <c r="N420" s="248">
        <f>O420/M420</f>
        <v>39.14483220958272</v>
      </c>
      <c r="O420" s="31">
        <f>K420</f>
        <v>401234.5301482228</v>
      </c>
      <c r="P420" s="28" t="str">
        <f>P34</f>
        <v>cy</v>
      </c>
      <c r="Q420" s="53">
        <f>Q34</f>
        <v>10250</v>
      </c>
      <c r="R420" s="248">
        <f>S420/Q420</f>
        <v>47.69463414634147</v>
      </c>
      <c r="S420" s="51">
        <f>S34*(1+$R$410)</f>
        <v>488870.00000000006</v>
      </c>
      <c r="T420" s="28" t="str">
        <f>T34</f>
        <v>cy</v>
      </c>
      <c r="U420" s="53">
        <f>U34</f>
        <v>10250</v>
      </c>
      <c r="V420" s="188">
        <f>W420/U420</f>
        <v>47.69463414634147</v>
      </c>
      <c r="W420" s="51">
        <f>W34*(1+$V$410)</f>
        <v>488870.00000000006</v>
      </c>
      <c r="X420" s="195" t="str">
        <f>X34</f>
        <v>cy</v>
      </c>
      <c r="Y420" s="178">
        <f>Y34</f>
        <v>10250</v>
      </c>
      <c r="Z420" s="188">
        <f>AA420/Y420</f>
        <v>47.69463414634147</v>
      </c>
      <c r="AA420" s="139">
        <f>AA34*(1+$Z$410)</f>
        <v>488870.00000000006</v>
      </c>
      <c r="AB420" s="195" t="str">
        <f>AB34</f>
        <v>cy</v>
      </c>
      <c r="AC420" s="178">
        <f>AC34</f>
        <v>10250</v>
      </c>
      <c r="AD420" s="188">
        <f>AE420/AC420</f>
        <v>47.69463414634147</v>
      </c>
      <c r="AE420" s="139">
        <f>AE34*(1+$AD$410)</f>
        <v>488870.00000000006</v>
      </c>
    </row>
    <row r="421" spans="1:31" ht="12">
      <c r="A421" s="85"/>
      <c r="B421" s="15"/>
      <c r="C421" s="15" t="str">
        <f>B36</f>
        <v>Install additional stormwater controls </v>
      </c>
      <c r="D421" s="15"/>
      <c r="E421" s="15"/>
      <c r="F421" s="15"/>
      <c r="G421" s="15"/>
      <c r="H421" s="300">
        <f aca="true" t="shared" si="18" ref="H421:J422">H36*(1+$N$410)</f>
        <v>0</v>
      </c>
      <c r="I421" s="76">
        <f t="shared" si="18"/>
        <v>0</v>
      </c>
      <c r="J421" s="76">
        <f t="shared" si="18"/>
        <v>0</v>
      </c>
      <c r="K421" s="302">
        <f>SUM(H421:J421)</f>
        <v>0</v>
      </c>
      <c r="L421" s="124"/>
      <c r="M421" s="53"/>
      <c r="N421" s="248"/>
      <c r="O421" s="31">
        <f aca="true" t="shared" si="19" ref="O421:O456">K421</f>
        <v>0</v>
      </c>
      <c r="P421" s="78"/>
      <c r="Q421" s="53"/>
      <c r="R421" s="248"/>
      <c r="S421" s="139">
        <f>SUM(P421:R421)</f>
        <v>0</v>
      </c>
      <c r="T421" s="78"/>
      <c r="U421" s="53"/>
      <c r="V421" s="188"/>
      <c r="W421" s="139">
        <f>SUM(T421:V421)</f>
        <v>0</v>
      </c>
      <c r="X421" s="177"/>
      <c r="Y421" s="178"/>
      <c r="Z421" s="188"/>
      <c r="AA421" s="139">
        <f>SUM(X421:Z421)</f>
        <v>0</v>
      </c>
      <c r="AB421" s="177"/>
      <c r="AC421" s="178"/>
      <c r="AD421" s="188"/>
      <c r="AE421" s="139">
        <f>SUM(AB421:AD421)</f>
        <v>0</v>
      </c>
    </row>
    <row r="422" spans="1:31" ht="12">
      <c r="A422" s="85"/>
      <c r="B422" s="15"/>
      <c r="C422" s="15" t="str">
        <f>B37</f>
        <v>Install additional groundwater controls</v>
      </c>
      <c r="D422" s="15"/>
      <c r="E422" s="15"/>
      <c r="F422" s="15"/>
      <c r="G422" s="15"/>
      <c r="H422" s="300">
        <f t="shared" si="18"/>
        <v>0</v>
      </c>
      <c r="I422" s="76">
        <f t="shared" si="18"/>
        <v>0</v>
      </c>
      <c r="J422" s="76">
        <f t="shared" si="18"/>
        <v>0</v>
      </c>
      <c r="K422" s="302">
        <f>SUM(H422:J422)</f>
        <v>0</v>
      </c>
      <c r="L422" s="30"/>
      <c r="M422" s="54"/>
      <c r="N422" s="26"/>
      <c r="O422" s="31">
        <f t="shared" si="19"/>
        <v>0</v>
      </c>
      <c r="P422" s="78"/>
      <c r="Q422" s="53"/>
      <c r="R422" s="26"/>
      <c r="S422" s="139">
        <f>SUM(P422:R422)</f>
        <v>0</v>
      </c>
      <c r="T422" s="78"/>
      <c r="U422" s="53"/>
      <c r="V422" s="138"/>
      <c r="W422" s="139">
        <f>SUM(T422:V422)</f>
        <v>0</v>
      </c>
      <c r="X422" s="177"/>
      <c r="Y422" s="178"/>
      <c r="Z422" s="138"/>
      <c r="AA422" s="139">
        <f>SUM(X422:Z422)</f>
        <v>0</v>
      </c>
      <c r="AB422" s="177"/>
      <c r="AC422" s="178"/>
      <c r="AD422" s="138"/>
      <c r="AE422" s="139">
        <f>SUM(AB422:AD422)</f>
        <v>0</v>
      </c>
    </row>
    <row r="423" spans="1:31" ht="12">
      <c r="A423" s="85"/>
      <c r="B423" s="15" t="str">
        <f>B38</f>
        <v>Subtotal Tailings Area Reclamation</v>
      </c>
      <c r="C423" s="15"/>
      <c r="D423" s="15"/>
      <c r="E423" s="15"/>
      <c r="F423" s="15"/>
      <c r="G423" s="15"/>
      <c r="H423" s="300">
        <f>SUM(H420:H422)</f>
        <v>213900.92099582675</v>
      </c>
      <c r="I423" s="76">
        <f>SUM(I420:I422)</f>
        <v>108994.09987048496</v>
      </c>
      <c r="J423" s="76">
        <f>SUM(J420:J422)</f>
        <v>0</v>
      </c>
      <c r="K423" s="302">
        <f>SUM(K420:K422)</f>
        <v>401234.5301482228</v>
      </c>
      <c r="L423" s="52" t="s">
        <v>140</v>
      </c>
      <c r="M423" s="54">
        <f>SUM(M420:M422)</f>
        <v>10250</v>
      </c>
      <c r="N423" s="248">
        <f>O423/M423</f>
        <v>39.14483220958272</v>
      </c>
      <c r="O423" s="31">
        <f>SUM(O420:O422)</f>
        <v>401234.5301482228</v>
      </c>
      <c r="P423" s="28" t="s">
        <v>140</v>
      </c>
      <c r="Q423" s="53">
        <f>SUM(Q420:Q422)</f>
        <v>10250</v>
      </c>
      <c r="R423" s="248">
        <f>S423/Q423</f>
        <v>47.69463414634147</v>
      </c>
      <c r="S423" s="139">
        <f>SUM(S420:S422)</f>
        <v>488870.00000000006</v>
      </c>
      <c r="T423" s="28" t="s">
        <v>140</v>
      </c>
      <c r="U423" s="53">
        <f>SUM(U420:U422)</f>
        <v>10250</v>
      </c>
      <c r="V423" s="248">
        <f>W423/U423</f>
        <v>47.69463414634147</v>
      </c>
      <c r="W423" s="139">
        <f>SUM(W420:W422)</f>
        <v>488870.00000000006</v>
      </c>
      <c r="X423" s="195" t="s">
        <v>140</v>
      </c>
      <c r="Y423" s="178">
        <f>SUM(Y420:Y422)</f>
        <v>10250</v>
      </c>
      <c r="Z423" s="188">
        <f>AA423/Y423</f>
        <v>47.69463414634147</v>
      </c>
      <c r="AA423" s="139">
        <f>SUM(AA420:AA422)</f>
        <v>488870.00000000006</v>
      </c>
      <c r="AB423" s="195" t="s">
        <v>140</v>
      </c>
      <c r="AC423" s="178">
        <f>SUM(AC420:AC422)</f>
        <v>10250</v>
      </c>
      <c r="AD423" s="188">
        <f>AE423/AC423</f>
        <v>47.69463414634147</v>
      </c>
      <c r="AE423" s="139">
        <f>SUM(AE420:AE422)</f>
        <v>488870.00000000006</v>
      </c>
    </row>
    <row r="424" spans="1:31" ht="12">
      <c r="A424" s="85"/>
      <c r="B424" s="15"/>
      <c r="C424" s="15"/>
      <c r="D424" s="15"/>
      <c r="E424" s="15"/>
      <c r="F424" s="15"/>
      <c r="G424" s="15"/>
      <c r="H424" s="300"/>
      <c r="I424" s="76"/>
      <c r="J424" s="76"/>
      <c r="K424" s="302"/>
      <c r="L424" s="52"/>
      <c r="M424" s="54"/>
      <c r="N424" s="248"/>
      <c r="O424" s="31"/>
      <c r="P424" s="28"/>
      <c r="Q424" s="53"/>
      <c r="R424" s="248"/>
      <c r="S424" s="139"/>
      <c r="T424" s="31"/>
      <c r="U424" s="53"/>
      <c r="V424" s="248"/>
      <c r="W424" s="139"/>
      <c r="X424" s="195"/>
      <c r="Y424" s="178"/>
      <c r="Z424" s="188"/>
      <c r="AA424" s="139"/>
      <c r="AB424" s="195"/>
      <c r="AC424" s="178"/>
      <c r="AD424" s="188"/>
      <c r="AE424" s="139"/>
    </row>
    <row r="425" spans="1:31" ht="12">
      <c r="A425" s="85" t="s">
        <v>102</v>
      </c>
      <c r="B425" s="15" t="str">
        <f>B40</f>
        <v>Development Rock Site Reclamation</v>
      </c>
      <c r="C425" s="15"/>
      <c r="D425" s="15"/>
      <c r="E425" s="15"/>
      <c r="F425" s="15"/>
      <c r="G425" s="15"/>
      <c r="H425" s="300"/>
      <c r="I425" s="76"/>
      <c r="J425" s="76"/>
      <c r="K425" s="302"/>
      <c r="L425" s="52"/>
      <c r="M425" s="54"/>
      <c r="N425" s="248"/>
      <c r="O425" s="31"/>
      <c r="P425" s="28"/>
      <c r="Q425" s="53"/>
      <c r="R425" s="248"/>
      <c r="S425" s="139"/>
      <c r="T425" s="31"/>
      <c r="U425" s="53"/>
      <c r="V425" s="248"/>
      <c r="W425" s="139"/>
      <c r="X425" s="195"/>
      <c r="Y425" s="178"/>
      <c r="Z425" s="188"/>
      <c r="AA425" s="139"/>
      <c r="AB425" s="195"/>
      <c r="AC425" s="178"/>
      <c r="AD425" s="188"/>
      <c r="AE425" s="139"/>
    </row>
    <row r="426" spans="1:31" ht="12">
      <c r="A426" s="85"/>
      <c r="B426" s="15"/>
      <c r="C426" s="15" t="str">
        <f>B41</f>
        <v>Jualin Development Rock Bench</v>
      </c>
      <c r="D426" s="15"/>
      <c r="E426" s="15"/>
      <c r="F426" s="15"/>
      <c r="G426" s="15"/>
      <c r="H426" s="300"/>
      <c r="I426" s="76"/>
      <c r="J426" s="76"/>
      <c r="K426" s="302">
        <f>K60*(1+$N$410)</f>
        <v>20639.12275147503</v>
      </c>
      <c r="L426" s="52" t="str">
        <f>L60</f>
        <v>ac</v>
      </c>
      <c r="M426" s="414">
        <f>M60</f>
        <v>4.8</v>
      </c>
      <c r="N426" s="248">
        <f>O426/M426</f>
        <v>4299.817239890632</v>
      </c>
      <c r="O426" s="31">
        <f>K426</f>
        <v>20639.12275147503</v>
      </c>
      <c r="P426" s="28" t="str">
        <f>P60</f>
        <v>ac</v>
      </c>
      <c r="Q426" s="397">
        <f>Q60</f>
        <v>4.8</v>
      </c>
      <c r="R426" s="248">
        <f>S426/Q426</f>
        <v>5238.960000000001</v>
      </c>
      <c r="S426" s="139">
        <f>S60*(1+$R$410)</f>
        <v>25147.008</v>
      </c>
      <c r="T426" s="31" t="str">
        <f>T60</f>
        <v>ac</v>
      </c>
      <c r="U426" s="397">
        <f>U60</f>
        <v>4.8</v>
      </c>
      <c r="V426" s="248">
        <f>W426/U426</f>
        <v>8934.12</v>
      </c>
      <c r="W426" s="139">
        <f>W60*(1+$V$410)</f>
        <v>42883.776</v>
      </c>
      <c r="X426" s="195" t="str">
        <f>X60</f>
        <v>ac</v>
      </c>
      <c r="Y426" s="398">
        <f>Y60</f>
        <v>4.8</v>
      </c>
      <c r="Z426" s="188">
        <f>AA426/Y426</f>
        <v>8934.12</v>
      </c>
      <c r="AA426" s="139">
        <f>AA60*(1+$Z$410)</f>
        <v>42883.776</v>
      </c>
      <c r="AB426" s="195" t="str">
        <f>AB60</f>
        <v>ac</v>
      </c>
      <c r="AC426" s="398">
        <f>AC60</f>
        <v>4.8</v>
      </c>
      <c r="AD426" s="188">
        <f>AE426/AC426</f>
        <v>8934.12</v>
      </c>
      <c r="AE426" s="139">
        <f>AE60*(1+$AD$410)</f>
        <v>42883.776</v>
      </c>
    </row>
    <row r="427" spans="1:31" ht="12">
      <c r="A427" s="85"/>
      <c r="B427" s="15"/>
      <c r="C427" s="15" t="str">
        <f>B62</f>
        <v>Kensington Development Rock Bench</v>
      </c>
      <c r="D427" s="15"/>
      <c r="E427" s="15"/>
      <c r="F427" s="15"/>
      <c r="G427" s="15"/>
      <c r="H427" s="300"/>
      <c r="I427" s="76"/>
      <c r="J427" s="76"/>
      <c r="K427" s="302">
        <f>K81*(1+$N$410)</f>
        <v>92446.07065764858</v>
      </c>
      <c r="L427" s="52" t="str">
        <f>L81</f>
        <v>ac</v>
      </c>
      <c r="M427" s="414">
        <f>M81</f>
        <v>21.5</v>
      </c>
      <c r="N427" s="248">
        <f>O427/M427</f>
        <v>4299.817239890632</v>
      </c>
      <c r="O427" s="31">
        <f>K427</f>
        <v>92446.07065764858</v>
      </c>
      <c r="P427" s="28" t="str">
        <f>P81</f>
        <v>ac</v>
      </c>
      <c r="Q427" s="397">
        <f>Q81</f>
        <v>21.5</v>
      </c>
      <c r="R427" s="248">
        <f>S427/Q427</f>
        <v>5238.960000000001</v>
      </c>
      <c r="S427" s="139">
        <f>S81*(1+$R$410)</f>
        <v>112637.64000000001</v>
      </c>
      <c r="T427" s="31" t="str">
        <f>T81</f>
        <v>ac</v>
      </c>
      <c r="U427" s="397">
        <f>U81</f>
        <v>21.5</v>
      </c>
      <c r="V427" s="248">
        <f>W427/U427</f>
        <v>8934.12</v>
      </c>
      <c r="W427" s="139">
        <f>W81*(1+$V$410)</f>
        <v>192083.58000000002</v>
      </c>
      <c r="X427" s="195" t="str">
        <f>X81</f>
        <v>ac</v>
      </c>
      <c r="Y427" s="398">
        <f>Y81</f>
        <v>21.5</v>
      </c>
      <c r="Z427" s="188">
        <f>AA427/Y427</f>
        <v>8934.12</v>
      </c>
      <c r="AA427" s="139">
        <f>AA81*(1+$Z$410)</f>
        <v>192083.58000000002</v>
      </c>
      <c r="AB427" s="195" t="str">
        <f>AB81</f>
        <v>ac</v>
      </c>
      <c r="AC427" s="398">
        <f>AC81</f>
        <v>21.5</v>
      </c>
      <c r="AD427" s="188">
        <f>AE427/AC427</f>
        <v>8934.12</v>
      </c>
      <c r="AE427" s="139">
        <f>AE81*(1+$AD$410)</f>
        <v>192083.58000000002</v>
      </c>
    </row>
    <row r="428" spans="1:31" ht="12">
      <c r="A428" s="85"/>
      <c r="B428" s="15" t="str">
        <f>B83</f>
        <v>Subtotal Development Rock Site Reclamation</v>
      </c>
      <c r="C428" s="15"/>
      <c r="D428" s="15"/>
      <c r="E428" s="15"/>
      <c r="F428" s="15"/>
      <c r="G428" s="15"/>
      <c r="H428" s="300"/>
      <c r="I428" s="76"/>
      <c r="J428" s="76"/>
      <c r="K428" s="302">
        <f>SUM(K426:K427)</f>
        <v>113085.19340912362</v>
      </c>
      <c r="L428" s="52" t="str">
        <f>L427</f>
        <v>ac</v>
      </c>
      <c r="M428" s="414">
        <f>SUM(M426:M427)</f>
        <v>26.3</v>
      </c>
      <c r="N428" s="248">
        <f>O428/M428</f>
        <v>4299.817239890632</v>
      </c>
      <c r="O428" s="31">
        <f>SUM(O426:O427)</f>
        <v>113085.19340912362</v>
      </c>
      <c r="P428" s="28" t="str">
        <f>P427</f>
        <v>ac</v>
      </c>
      <c r="Q428" s="397">
        <f>SUM(Q426:Q427)</f>
        <v>26.3</v>
      </c>
      <c r="R428" s="248">
        <f>S428/Q428</f>
        <v>5238.96</v>
      </c>
      <c r="S428" s="139">
        <f>SUM(S426:S427)</f>
        <v>137784.64800000002</v>
      </c>
      <c r="T428" s="31" t="str">
        <f>T427</f>
        <v>ac</v>
      </c>
      <c r="U428" s="397">
        <f>SUM(U426:U427)</f>
        <v>26.3</v>
      </c>
      <c r="V428" s="248">
        <f>W428/U428</f>
        <v>8934.12</v>
      </c>
      <c r="W428" s="139">
        <f>SUM(W426:W427)</f>
        <v>234967.35600000003</v>
      </c>
      <c r="X428" s="195" t="str">
        <f>X427</f>
        <v>ac</v>
      </c>
      <c r="Y428" s="398">
        <f>SUM(Y426:Y427)</f>
        <v>26.3</v>
      </c>
      <c r="Z428" s="188">
        <f>AA428/Y428</f>
        <v>8934.12</v>
      </c>
      <c r="AA428" s="139">
        <f>SUM(AA426:AA427)</f>
        <v>234967.35600000003</v>
      </c>
      <c r="AB428" s="195" t="str">
        <f>AB427</f>
        <v>ac</v>
      </c>
      <c r="AC428" s="398">
        <f>SUM(AC426:AC427)</f>
        <v>26.3</v>
      </c>
      <c r="AD428" s="188">
        <f>AE428/AC428</f>
        <v>8934.12</v>
      </c>
      <c r="AE428" s="139">
        <f>SUM(AE426:AE427)</f>
        <v>234967.35600000003</v>
      </c>
    </row>
    <row r="429" spans="1:31" ht="12">
      <c r="A429" s="85"/>
      <c r="B429" s="15"/>
      <c r="C429" s="15"/>
      <c r="D429" s="15"/>
      <c r="E429" s="15"/>
      <c r="F429" s="15"/>
      <c r="G429" s="15"/>
      <c r="H429" s="300"/>
      <c r="I429" s="76"/>
      <c r="J429" s="76"/>
      <c r="K429" s="302"/>
      <c r="L429" s="52"/>
      <c r="M429" s="54"/>
      <c r="N429" s="26"/>
      <c r="O429" s="31"/>
      <c r="P429" s="28"/>
      <c r="Q429" s="53"/>
      <c r="R429" s="26"/>
      <c r="S429" s="139"/>
      <c r="T429" s="26"/>
      <c r="U429" s="178"/>
      <c r="V429" s="138"/>
      <c r="W429" s="139"/>
      <c r="X429" s="195"/>
      <c r="Y429" s="178"/>
      <c r="Z429" s="138"/>
      <c r="AA429" s="139"/>
      <c r="AB429" s="195"/>
      <c r="AC429" s="178"/>
      <c r="AD429" s="138"/>
      <c r="AE429" s="139"/>
    </row>
    <row r="430" spans="1:31" ht="12">
      <c r="A430" s="85" t="s">
        <v>103</v>
      </c>
      <c r="B430" s="15" t="str">
        <f>B85</f>
        <v>Underground Mine</v>
      </c>
      <c r="C430" s="15"/>
      <c r="D430" s="15"/>
      <c r="E430" s="15"/>
      <c r="F430" s="15"/>
      <c r="G430" s="15"/>
      <c r="H430" s="300"/>
      <c r="I430" s="76"/>
      <c r="J430" s="76"/>
      <c r="K430" s="302"/>
      <c r="L430" s="52"/>
      <c r="M430" s="54"/>
      <c r="N430" s="26"/>
      <c r="O430" s="31"/>
      <c r="P430" s="28"/>
      <c r="Q430" s="53"/>
      <c r="R430" s="26"/>
      <c r="S430" s="139"/>
      <c r="T430" s="26"/>
      <c r="U430" s="178"/>
      <c r="V430" s="138"/>
      <c r="W430" s="139"/>
      <c r="X430" s="195"/>
      <c r="Y430" s="178"/>
      <c r="Z430" s="138"/>
      <c r="AA430" s="139"/>
      <c r="AB430" s="195"/>
      <c r="AC430" s="178"/>
      <c r="AD430" s="138"/>
      <c r="AE430" s="139"/>
    </row>
    <row r="431" spans="1:31" ht="12">
      <c r="A431" s="85"/>
      <c r="B431" s="15"/>
      <c r="C431" s="15" t="str">
        <f>B87</f>
        <v>Removal and/or Demolition</v>
      </c>
      <c r="D431" s="15"/>
      <c r="E431" s="15"/>
      <c r="F431" s="15"/>
      <c r="G431" s="15"/>
      <c r="H431" s="300">
        <f>H87*(1+$N$410)</f>
        <v>27248.52496762124</v>
      </c>
      <c r="I431" s="76">
        <f>I87*(1+$N$410)</f>
        <v>108994.09987048496</v>
      </c>
      <c r="J431" s="76">
        <f>J87*(1+$N$410)</f>
        <v>0</v>
      </c>
      <c r="K431" s="76">
        <f>K87*(1+$N$410)</f>
        <v>136242.62483810622</v>
      </c>
      <c r="L431" s="247" t="str">
        <f>L87</f>
        <v>lot</v>
      </c>
      <c r="M431" s="53">
        <f>M87</f>
        <v>1</v>
      </c>
      <c r="N431" s="26">
        <f>O431/M431</f>
        <v>136242.62483810622</v>
      </c>
      <c r="O431" s="31">
        <f t="shared" si="19"/>
        <v>136242.62483810622</v>
      </c>
      <c r="P431" s="28" t="str">
        <f>P87</f>
        <v>lot</v>
      </c>
      <c r="Q431" s="53">
        <f>Q87</f>
        <v>1</v>
      </c>
      <c r="R431" s="26">
        <f>S431/Q431</f>
        <v>166000</v>
      </c>
      <c r="S431" s="139">
        <f>S87*(1+$R$410)</f>
        <v>166000</v>
      </c>
      <c r="T431" s="26" t="str">
        <f>T87</f>
        <v>lot</v>
      </c>
      <c r="U431" s="178">
        <f>U87</f>
        <v>1</v>
      </c>
      <c r="V431" s="138">
        <f>W431/U431</f>
        <v>166000</v>
      </c>
      <c r="W431" s="139">
        <f>W87*(1+$V$410)</f>
        <v>166000</v>
      </c>
      <c r="X431" s="195" t="str">
        <f>X87</f>
        <v>lot</v>
      </c>
      <c r="Y431" s="178">
        <f>Y87</f>
        <v>1</v>
      </c>
      <c r="Z431" s="138">
        <f>AA431/Y431</f>
        <v>166000</v>
      </c>
      <c r="AA431" s="139">
        <f>AA87*(1+$Z$410)</f>
        <v>166000</v>
      </c>
      <c r="AB431" s="195" t="str">
        <f>AB87</f>
        <v>lot</v>
      </c>
      <c r="AC431" s="178">
        <f>AC87</f>
        <v>1</v>
      </c>
      <c r="AD431" s="138">
        <f>AE431/AC431</f>
        <v>166000</v>
      </c>
      <c r="AE431" s="139">
        <f>AE87*(1+$AD$410)</f>
        <v>166000</v>
      </c>
    </row>
    <row r="432" spans="1:31" ht="12">
      <c r="A432" s="85"/>
      <c r="B432" s="15"/>
      <c r="C432" s="15" t="str">
        <f>B88</f>
        <v>Plug Portals</v>
      </c>
      <c r="D432" s="15"/>
      <c r="E432" s="15"/>
      <c r="F432" s="15"/>
      <c r="G432" s="15"/>
      <c r="H432" s="300">
        <f>H88*(1+$N$410)</f>
        <v>0</v>
      </c>
      <c r="I432" s="76">
        <f>I88*(1+$N$410)</f>
        <v>0</v>
      </c>
      <c r="J432" s="76">
        <f>J88*(1+$N$410)</f>
        <v>0</v>
      </c>
      <c r="K432" s="302">
        <f>SUM(H432:J432)</f>
        <v>0</v>
      </c>
      <c r="L432" s="247"/>
      <c r="M432" s="53"/>
      <c r="N432" s="26"/>
      <c r="O432" s="31">
        <f t="shared" si="19"/>
        <v>0</v>
      </c>
      <c r="P432" s="28"/>
      <c r="Q432" s="53"/>
      <c r="R432" s="26"/>
      <c r="S432" s="139">
        <f>SUM(P432:R432)</f>
        <v>0</v>
      </c>
      <c r="T432" s="26" t="str">
        <f>T88</f>
        <v>lot</v>
      </c>
      <c r="U432" s="178">
        <f>U88</f>
        <v>2</v>
      </c>
      <c r="V432" s="138">
        <f>W432/U432</f>
        <v>141100</v>
      </c>
      <c r="W432" s="139">
        <f>W88*(1+$V$410)</f>
        <v>282200</v>
      </c>
      <c r="X432" s="195" t="str">
        <f>X88</f>
        <v>lot</v>
      </c>
      <c r="Y432" s="178">
        <f>Y88</f>
        <v>2</v>
      </c>
      <c r="Z432" s="138">
        <f>AA432/Y432</f>
        <v>141100</v>
      </c>
      <c r="AA432" s="139">
        <f>AA88*(1+$Z$410)</f>
        <v>282200</v>
      </c>
      <c r="AB432" s="195" t="str">
        <f>AB88</f>
        <v>lot</v>
      </c>
      <c r="AC432" s="178">
        <f>AC88</f>
        <v>2</v>
      </c>
      <c r="AD432" s="138">
        <f>AE432/AC432</f>
        <v>141100</v>
      </c>
      <c r="AE432" s="139">
        <f>AE88*(1+$AD$410)</f>
        <v>282200</v>
      </c>
    </row>
    <row r="433" spans="1:31" ht="12">
      <c r="A433" s="85"/>
      <c r="B433" s="15" t="str">
        <f>B90</f>
        <v>Subtotal Underground Mine Reclamation</v>
      </c>
      <c r="C433" s="15"/>
      <c r="D433" s="15"/>
      <c r="E433" s="15"/>
      <c r="F433" s="15"/>
      <c r="G433" s="15"/>
      <c r="H433" s="300">
        <f>SUM(H431:H432)</f>
        <v>27248.52496762124</v>
      </c>
      <c r="I433" s="76">
        <f>SUM(I431:I432)</f>
        <v>108994.09987048496</v>
      </c>
      <c r="J433" s="76">
        <f>SUM(J431:J432)</f>
        <v>0</v>
      </c>
      <c r="K433" s="302">
        <f>SUM(H433:J433)</f>
        <v>136242.62483810622</v>
      </c>
      <c r="L433" s="52" t="str">
        <f>L431</f>
        <v>lot</v>
      </c>
      <c r="M433" s="54">
        <f>M431</f>
        <v>1</v>
      </c>
      <c r="N433" s="248">
        <f>O433/M433</f>
        <v>136242.62483810622</v>
      </c>
      <c r="O433" s="31">
        <f>SUM(O431:O432)</f>
        <v>136242.62483810622</v>
      </c>
      <c r="P433" s="28" t="str">
        <f>P431</f>
        <v>lot</v>
      </c>
      <c r="Q433" s="53">
        <f>Q431</f>
        <v>1</v>
      </c>
      <c r="R433" s="248">
        <f>S433/Q433</f>
        <v>166000</v>
      </c>
      <c r="S433" s="139">
        <f>SUM(S431:S432)</f>
        <v>166000</v>
      </c>
      <c r="T433" s="26" t="str">
        <f>T431</f>
        <v>lot</v>
      </c>
      <c r="U433" s="178">
        <f>U431</f>
        <v>1</v>
      </c>
      <c r="V433" s="188">
        <f>W433/U433</f>
        <v>448200</v>
      </c>
      <c r="W433" s="139">
        <f>SUM(W431:W432)</f>
        <v>448200</v>
      </c>
      <c r="X433" s="195" t="str">
        <f>X431</f>
        <v>lot</v>
      </c>
      <c r="Y433" s="178">
        <f>Y431</f>
        <v>1</v>
      </c>
      <c r="Z433" s="188">
        <f>AA433/Y433</f>
        <v>448200</v>
      </c>
      <c r="AA433" s="139">
        <f>SUM(AA431:AA432)</f>
        <v>448200</v>
      </c>
      <c r="AB433" s="195" t="str">
        <f>AB431</f>
        <v>lot</v>
      </c>
      <c r="AC433" s="178">
        <f>AC431</f>
        <v>1</v>
      </c>
      <c r="AD433" s="188">
        <f>AE433/AC433</f>
        <v>448200</v>
      </c>
      <c r="AE433" s="139">
        <f>SUM(AE431:AE432)</f>
        <v>448200</v>
      </c>
    </row>
    <row r="434" spans="1:31" ht="12">
      <c r="A434" s="85"/>
      <c r="B434" s="15"/>
      <c r="C434" s="15"/>
      <c r="D434" s="15"/>
      <c r="E434" s="15"/>
      <c r="F434" s="15"/>
      <c r="G434" s="15"/>
      <c r="H434" s="300"/>
      <c r="I434" s="76"/>
      <c r="J434" s="76"/>
      <c r="K434" s="302"/>
      <c r="L434" s="52"/>
      <c r="M434" s="54"/>
      <c r="N434" s="26"/>
      <c r="O434" s="31"/>
      <c r="P434" s="28"/>
      <c r="Q434" s="53"/>
      <c r="R434" s="26"/>
      <c r="S434" s="139"/>
      <c r="T434" s="26"/>
      <c r="U434" s="178"/>
      <c r="V434" s="138"/>
      <c r="W434" s="139"/>
      <c r="X434" s="195"/>
      <c r="Y434" s="178"/>
      <c r="Z434" s="138"/>
      <c r="AA434" s="139"/>
      <c r="AB434" s="195"/>
      <c r="AC434" s="178"/>
      <c r="AD434" s="138"/>
      <c r="AE434" s="139"/>
    </row>
    <row r="435" spans="1:31" ht="12">
      <c r="A435" s="85" t="s">
        <v>104</v>
      </c>
      <c r="B435" s="15" t="str">
        <f>B92</f>
        <v>Facilities, Roads,and Other</v>
      </c>
      <c r="C435" s="15"/>
      <c r="D435" s="15"/>
      <c r="E435" s="15"/>
      <c r="F435" s="15"/>
      <c r="G435" s="15"/>
      <c r="H435" s="300"/>
      <c r="I435" s="76"/>
      <c r="J435" s="76"/>
      <c r="K435" s="302"/>
      <c r="L435" s="30"/>
      <c r="M435" s="54"/>
      <c r="N435" s="26"/>
      <c r="O435" s="31"/>
      <c r="P435" s="78"/>
      <c r="Q435" s="53"/>
      <c r="R435" s="26"/>
      <c r="S435" s="139"/>
      <c r="T435" s="445"/>
      <c r="U435" s="178"/>
      <c r="V435" s="138"/>
      <c r="W435" s="139"/>
      <c r="X435" s="177"/>
      <c r="Y435" s="178"/>
      <c r="Z435" s="138"/>
      <c r="AA435" s="139"/>
      <c r="AB435" s="177"/>
      <c r="AC435" s="178"/>
      <c r="AD435" s="138"/>
      <c r="AE435" s="139"/>
    </row>
    <row r="436" spans="1:31" ht="12">
      <c r="A436" s="85"/>
      <c r="B436" s="15"/>
      <c r="C436" s="15" t="str">
        <f>B93</f>
        <v>Access Roads</v>
      </c>
      <c r="D436" s="15"/>
      <c r="E436" s="15"/>
      <c r="F436" s="15"/>
      <c r="G436" s="15"/>
      <c r="H436" s="300">
        <f>H113*(1+$N$410)</f>
        <v>34060.656209526554</v>
      </c>
      <c r="I436" s="76">
        <f>I113*(1+$N$410)</f>
        <v>27248.52496762124</v>
      </c>
      <c r="J436" s="76">
        <f>J113*(1+$N$410)</f>
        <v>0</v>
      </c>
      <c r="K436" s="76">
        <f>K113*(1+$N$410)</f>
        <v>253765.51302345662</v>
      </c>
      <c r="L436" s="52" t="str">
        <f>L113</f>
        <v>ac</v>
      </c>
      <c r="M436" s="414">
        <f>M113</f>
        <v>35</v>
      </c>
      <c r="N436" s="248">
        <f aca="true" t="shared" si="20" ref="N436:N456">O436/M436</f>
        <v>7250.443229241618</v>
      </c>
      <c r="O436" s="31">
        <f t="shared" si="19"/>
        <v>253765.51302345662</v>
      </c>
      <c r="P436" s="28" t="str">
        <f>P113</f>
        <v>ac</v>
      </c>
      <c r="Q436" s="397">
        <f>Q113</f>
        <v>35</v>
      </c>
      <c r="R436" s="248">
        <f aca="true" t="shared" si="21" ref="R436:R449">S436/Q436</f>
        <v>8834.045714285716</v>
      </c>
      <c r="S436" s="139">
        <f>S113*(1+$R$410)</f>
        <v>309191.60000000003</v>
      </c>
      <c r="T436" s="26" t="str">
        <f>T113</f>
        <v>ac</v>
      </c>
      <c r="U436" s="398">
        <f>U113</f>
        <v>35</v>
      </c>
      <c r="V436" s="248">
        <f aca="true" t="shared" si="22" ref="V436:V449">W436/U436</f>
        <v>11068.405714285715</v>
      </c>
      <c r="W436" s="139">
        <f>W113*(1+$V$410)</f>
        <v>387394.2</v>
      </c>
      <c r="X436" s="195" t="str">
        <f>X113</f>
        <v>ac</v>
      </c>
      <c r="Y436" s="398">
        <f>Y113</f>
        <v>35</v>
      </c>
      <c r="Z436" s="188">
        <f aca="true" t="shared" si="23" ref="Z436:Z449">AA436/Y436</f>
        <v>11068.405714285715</v>
      </c>
      <c r="AA436" s="139">
        <f>AA113*(1+$Z$410)</f>
        <v>387394.2</v>
      </c>
      <c r="AB436" s="195" t="str">
        <f>AB113</f>
        <v>ac</v>
      </c>
      <c r="AC436" s="398">
        <f>AC113</f>
        <v>35</v>
      </c>
      <c r="AD436" s="188">
        <f aca="true" t="shared" si="24" ref="AD436:AD449">AE436/AC436</f>
        <v>11068.405714285715</v>
      </c>
      <c r="AE436" s="139">
        <f>AE113*(1+$AD$410)</f>
        <v>387394.2</v>
      </c>
    </row>
    <row r="437" spans="1:31" ht="12">
      <c r="A437" s="85"/>
      <c r="B437" s="15"/>
      <c r="C437" s="15" t="str">
        <f>B115</f>
        <v>Process Area</v>
      </c>
      <c r="D437" s="15"/>
      <c r="E437" s="15"/>
      <c r="F437" s="15"/>
      <c r="G437" s="15"/>
      <c r="H437" s="300">
        <f>H135*(1+$N$410)</f>
        <v>235699.74096992373</v>
      </c>
      <c r="I437" s="76">
        <f>I135*(1+$N$410)</f>
        <v>193464.52727011082</v>
      </c>
      <c r="J437" s="76">
        <f>J135*(1+$N$410)</f>
        <v>0</v>
      </c>
      <c r="K437" s="76">
        <f>K135*(1+$N$410)</f>
        <v>503121.12476615346</v>
      </c>
      <c r="L437" s="52" t="str">
        <f>L135</f>
        <v>ac</v>
      </c>
      <c r="M437" s="414">
        <f>M135</f>
        <v>17.2</v>
      </c>
      <c r="N437" s="248">
        <f t="shared" si="20"/>
        <v>29251.22818407869</v>
      </c>
      <c r="O437" s="31">
        <f t="shared" si="19"/>
        <v>503121.12476615346</v>
      </c>
      <c r="P437" s="28" t="str">
        <f>P135</f>
        <v>ac</v>
      </c>
      <c r="Q437" s="397">
        <f>Q135</f>
        <v>17.2</v>
      </c>
      <c r="R437" s="248">
        <f t="shared" si="21"/>
        <v>35640.12279069768</v>
      </c>
      <c r="S437" s="139">
        <f>S135*(1+$R$410)</f>
        <v>613010.1120000001</v>
      </c>
      <c r="T437" s="26" t="str">
        <f>T135</f>
        <v>ac</v>
      </c>
      <c r="U437" s="398">
        <f>U135</f>
        <v>17.2</v>
      </c>
      <c r="V437" s="248">
        <f t="shared" si="22"/>
        <v>39335.28279069768</v>
      </c>
      <c r="W437" s="139">
        <f>W135*(1+$V$410)</f>
        <v>676566.8640000001</v>
      </c>
      <c r="X437" s="195" t="str">
        <f>X135</f>
        <v>ac</v>
      </c>
      <c r="Y437" s="398">
        <f>Y135</f>
        <v>17.2</v>
      </c>
      <c r="Z437" s="188">
        <f t="shared" si="23"/>
        <v>39335.28279069768</v>
      </c>
      <c r="AA437" s="139">
        <f>AA135*(1+$Z$410)</f>
        <v>676566.8640000001</v>
      </c>
      <c r="AB437" s="195" t="str">
        <f>AB135</f>
        <v>ac</v>
      </c>
      <c r="AC437" s="398">
        <f>AC135</f>
        <v>17.2</v>
      </c>
      <c r="AD437" s="188">
        <f t="shared" si="24"/>
        <v>39335.28279069768</v>
      </c>
      <c r="AE437" s="139">
        <f>AE135*(1+$AD$410)</f>
        <v>676566.8640000001</v>
      </c>
    </row>
    <row r="438" spans="1:31" ht="12">
      <c r="A438" s="85"/>
      <c r="B438" s="15"/>
      <c r="C438" s="15" t="str">
        <f>B137</f>
        <v>Marine Facilities (Slate Creek Cove)</v>
      </c>
      <c r="D438" s="15"/>
      <c r="E438" s="15"/>
      <c r="F438" s="15"/>
      <c r="G438" s="15"/>
      <c r="H438" s="300">
        <f>H157*(1+$N$410)</f>
        <v>76295.86990933948</v>
      </c>
      <c r="I438" s="76">
        <f>I157*(1+$N$410)</f>
        <v>74933.44366095841</v>
      </c>
      <c r="J438" s="76">
        <f>J157*(1+$N$410)</f>
        <v>0</v>
      </c>
      <c r="K438" s="76">
        <f>K157*(1+$N$410)</f>
        <v>166708.65563390419</v>
      </c>
      <c r="L438" s="52" t="str">
        <f>L157</f>
        <v>ac</v>
      </c>
      <c r="M438" s="414">
        <f>M157</f>
        <v>3.6</v>
      </c>
      <c r="N438" s="248">
        <f t="shared" si="20"/>
        <v>46307.95989830672</v>
      </c>
      <c r="O438" s="31">
        <f t="shared" si="19"/>
        <v>166708.65563390419</v>
      </c>
      <c r="P438" s="28" t="str">
        <f>P157</f>
        <v>ac</v>
      </c>
      <c r="Q438" s="397">
        <f>Q157</f>
        <v>3.6</v>
      </c>
      <c r="R438" s="248">
        <f t="shared" si="21"/>
        <v>56422.293333333335</v>
      </c>
      <c r="S438" s="139">
        <f>S157*(1+$R$410)</f>
        <v>203120.25600000002</v>
      </c>
      <c r="T438" s="26" t="str">
        <f>T157</f>
        <v>ac</v>
      </c>
      <c r="U438" s="398">
        <f>U157</f>
        <v>3.6</v>
      </c>
      <c r="V438" s="248">
        <f t="shared" si="22"/>
        <v>60117.45333333334</v>
      </c>
      <c r="W438" s="139">
        <f>W157*(1+$V$410)</f>
        <v>216422.83200000002</v>
      </c>
      <c r="X438" s="195" t="str">
        <f>X157</f>
        <v>ac</v>
      </c>
      <c r="Y438" s="398">
        <f>Y157</f>
        <v>3.6</v>
      </c>
      <c r="Z438" s="188">
        <f t="shared" si="23"/>
        <v>60117.45333333334</v>
      </c>
      <c r="AA438" s="139">
        <f>AA157*(1+$Z$410)</f>
        <v>216422.83200000002</v>
      </c>
      <c r="AB438" s="195" t="str">
        <f>AB157</f>
        <v>ac</v>
      </c>
      <c r="AC438" s="398">
        <f>AC157</f>
        <v>3.6</v>
      </c>
      <c r="AD438" s="188">
        <f t="shared" si="24"/>
        <v>60117.45333333334</v>
      </c>
      <c r="AE438" s="139">
        <f>AE157*(1+$AD$410)</f>
        <v>216422.83200000002</v>
      </c>
    </row>
    <row r="439" spans="1:31" ht="12">
      <c r="A439" s="85"/>
      <c r="B439" s="15"/>
      <c r="C439" s="15" t="str">
        <f>B159</f>
        <v>Kensington Camp (Comet Beach)</v>
      </c>
      <c r="D439" s="15"/>
      <c r="E439" s="15"/>
      <c r="F439" s="15"/>
      <c r="G439" s="15"/>
      <c r="H439" s="300">
        <f>H179*(1+$N$410)</f>
        <v>40872.78745143186</v>
      </c>
      <c r="I439" s="76">
        <f>I179*(1+$N$410)</f>
        <v>3269.822996114549</v>
      </c>
      <c r="J439" s="76">
        <f>J179*(1+$N$410)</f>
        <v>0</v>
      </c>
      <c r="K439" s="76">
        <f>K179*(1+$N$410)</f>
        <v>54462.17182328393</v>
      </c>
      <c r="L439" s="52" t="str">
        <f>L179</f>
        <v>ac</v>
      </c>
      <c r="M439" s="414">
        <f>M179</f>
        <v>2.4</v>
      </c>
      <c r="N439" s="248">
        <f t="shared" si="20"/>
        <v>22692.57159303497</v>
      </c>
      <c r="O439" s="31">
        <f t="shared" si="19"/>
        <v>54462.17182328393</v>
      </c>
      <c r="P439" s="28" t="str">
        <f>P179</f>
        <v>ac</v>
      </c>
      <c r="Q439" s="397">
        <f>Q179</f>
        <v>2.4</v>
      </c>
      <c r="R439" s="248">
        <f t="shared" si="21"/>
        <v>27648.960000000006</v>
      </c>
      <c r="S439" s="139">
        <f>S179*(1+$R$410)</f>
        <v>66357.50400000002</v>
      </c>
      <c r="T439" s="26" t="str">
        <f>T179</f>
        <v>ac</v>
      </c>
      <c r="U439" s="398">
        <f>U179</f>
        <v>2.4</v>
      </c>
      <c r="V439" s="248">
        <f t="shared" si="22"/>
        <v>31344.120000000003</v>
      </c>
      <c r="W439" s="139">
        <f>W179*(1+$V$410)</f>
        <v>75225.888</v>
      </c>
      <c r="X439" s="195" t="str">
        <f>X179</f>
        <v>ac</v>
      </c>
      <c r="Y439" s="398">
        <f>Y179</f>
        <v>2.4</v>
      </c>
      <c r="Z439" s="188">
        <f t="shared" si="23"/>
        <v>31344.120000000003</v>
      </c>
      <c r="AA439" s="139">
        <f>AA179*(1+$Z$410)</f>
        <v>75225.888</v>
      </c>
      <c r="AB439" s="195" t="str">
        <f>AB179</f>
        <v>ac</v>
      </c>
      <c r="AC439" s="398">
        <f>AC179</f>
        <v>2.4</v>
      </c>
      <c r="AD439" s="188">
        <f t="shared" si="24"/>
        <v>31344.120000000003</v>
      </c>
      <c r="AE439" s="139">
        <f>AE179*(1+$AD$410)</f>
        <v>75225.888</v>
      </c>
    </row>
    <row r="440" spans="1:31" ht="12">
      <c r="A440" s="85"/>
      <c r="B440" s="15"/>
      <c r="C440" s="15" t="str">
        <f>B181</f>
        <v>Water Treatment Plant Area</v>
      </c>
      <c r="D440" s="15"/>
      <c r="E440" s="15"/>
      <c r="F440" s="15"/>
      <c r="G440" s="15"/>
      <c r="H440" s="28">
        <f>H201*(1+$N$410)</f>
        <v>54497.04993524248</v>
      </c>
      <c r="I440" s="76">
        <f>I201*(1+$N$410)</f>
        <v>40872.78745143186</v>
      </c>
      <c r="J440" s="76">
        <f>J201*(1+$N$410)</f>
        <v>0</v>
      </c>
      <c r="K440" s="26">
        <f>K201*(1+$N$410)</f>
        <v>138368.00978558065</v>
      </c>
      <c r="L440" s="52" t="str">
        <f>L201</f>
        <v>ac</v>
      </c>
      <c r="M440" s="414">
        <f>M201</f>
        <v>10</v>
      </c>
      <c r="N440" s="248">
        <f>O440/M440</f>
        <v>13836.800978558065</v>
      </c>
      <c r="O440" s="31">
        <f>K440</f>
        <v>138368.00978558065</v>
      </c>
      <c r="P440" s="28" t="str">
        <f>P201</f>
        <v>ac</v>
      </c>
      <c r="Q440" s="397">
        <f>Q201</f>
        <v>10</v>
      </c>
      <c r="R440" s="248">
        <f t="shared" si="21"/>
        <v>16858.96</v>
      </c>
      <c r="S440" s="139">
        <f>S201*(1+$R$410)</f>
        <v>168589.6</v>
      </c>
      <c r="T440" s="26" t="str">
        <f>T201</f>
        <v>ac</v>
      </c>
      <c r="U440" s="398">
        <f>U201</f>
        <v>10</v>
      </c>
      <c r="V440" s="248">
        <f t="shared" si="22"/>
        <v>20554.120000000003</v>
      </c>
      <c r="W440" s="139">
        <f>W201*(1+$V$410)</f>
        <v>205541.2</v>
      </c>
      <c r="X440" s="195" t="str">
        <f>X201</f>
        <v>ac</v>
      </c>
      <c r="Y440" s="398">
        <f>Y201</f>
        <v>10</v>
      </c>
      <c r="Z440" s="188">
        <f t="shared" si="23"/>
        <v>20554.120000000003</v>
      </c>
      <c r="AA440" s="139">
        <f>AA201*(1+$Z$410)</f>
        <v>205541.2</v>
      </c>
      <c r="AB440" s="195" t="str">
        <f>AB201</f>
        <v>ac</v>
      </c>
      <c r="AC440" s="398">
        <f>AC201</f>
        <v>10</v>
      </c>
      <c r="AD440" s="188">
        <f t="shared" si="24"/>
        <v>20554.120000000003</v>
      </c>
      <c r="AE440" s="139">
        <f>AE201*(1+$AD$410)</f>
        <v>205541.2</v>
      </c>
    </row>
    <row r="441" spans="1:31" ht="12">
      <c r="A441" s="85"/>
      <c r="B441" s="15"/>
      <c r="C441" s="15" t="str">
        <f>B203</f>
        <v>Borrow Areas</v>
      </c>
      <c r="D441" s="15"/>
      <c r="E441" s="15"/>
      <c r="F441" s="15"/>
      <c r="G441" s="15"/>
      <c r="H441" s="300">
        <f>H223*(1+$N$410)</f>
        <v>0</v>
      </c>
      <c r="I441" s="76">
        <f>I223*(1+$N$410)</f>
        <v>0</v>
      </c>
      <c r="J441" s="76">
        <f>J223*(1+$N$410)</f>
        <v>0</v>
      </c>
      <c r="K441" s="76">
        <f>K223*(1+$N$410)</f>
        <v>36118.46481508131</v>
      </c>
      <c r="L441" s="52" t="str">
        <f>L223</f>
        <v>ac</v>
      </c>
      <c r="M441" s="414">
        <f>M223</f>
        <v>8.4</v>
      </c>
      <c r="N441" s="26">
        <f t="shared" si="20"/>
        <v>4299.817239890632</v>
      </c>
      <c r="O441" s="31">
        <f t="shared" si="19"/>
        <v>36118.46481508131</v>
      </c>
      <c r="P441" s="28" t="str">
        <f>P223</f>
        <v>ac</v>
      </c>
      <c r="Q441" s="397">
        <f>Q223</f>
        <v>8.4</v>
      </c>
      <c r="R441" s="26">
        <f t="shared" si="21"/>
        <v>5238.96</v>
      </c>
      <c r="S441" s="139">
        <f>S223*(1+$R$410)</f>
        <v>44007.264</v>
      </c>
      <c r="T441" s="26" t="str">
        <f>T223</f>
        <v>ac</v>
      </c>
      <c r="U441" s="398">
        <f>U223</f>
        <v>8.4</v>
      </c>
      <c r="V441" s="26">
        <f t="shared" si="22"/>
        <v>8934.12</v>
      </c>
      <c r="W441" s="139">
        <f>W223*(1+$V$410)</f>
        <v>75046.60800000001</v>
      </c>
      <c r="X441" s="195" t="str">
        <f>X223</f>
        <v>ac</v>
      </c>
      <c r="Y441" s="398">
        <f>Y223</f>
        <v>8.4</v>
      </c>
      <c r="Z441" s="138">
        <f t="shared" si="23"/>
        <v>8934.12</v>
      </c>
      <c r="AA441" s="139">
        <f>AA223*(1+$Z$410)</f>
        <v>75046.60800000001</v>
      </c>
      <c r="AB441" s="195" t="str">
        <f>AB223</f>
        <v>ac</v>
      </c>
      <c r="AC441" s="398">
        <f>AC223</f>
        <v>8.4</v>
      </c>
      <c r="AD441" s="138">
        <f t="shared" si="24"/>
        <v>8934.12</v>
      </c>
      <c r="AE441" s="139">
        <f>AE223*(1+$AD$410)</f>
        <v>75046.60800000001</v>
      </c>
    </row>
    <row r="442" spans="1:31" ht="12">
      <c r="A442" s="85"/>
      <c r="B442" s="15"/>
      <c r="C442" s="15" t="str">
        <f>B225</f>
        <v>Laydown Areas</v>
      </c>
      <c r="D442" s="15"/>
      <c r="E442" s="15"/>
      <c r="F442" s="15"/>
      <c r="G442" s="15"/>
      <c r="H442" s="300">
        <f>H245*(1+$N$410)</f>
        <v>0</v>
      </c>
      <c r="I442" s="76">
        <f>I245*(1+$N$410)</f>
        <v>0</v>
      </c>
      <c r="J442" s="76">
        <f>J245*(1+$N$410)</f>
        <v>0</v>
      </c>
      <c r="K442" s="76">
        <f>K245*(1+$N$410)</f>
        <v>21499.08619945316</v>
      </c>
      <c r="L442" s="52" t="str">
        <f>L245</f>
        <v>ac</v>
      </c>
      <c r="M442" s="414">
        <f>M245</f>
        <v>5</v>
      </c>
      <c r="N442" s="248">
        <f t="shared" si="20"/>
        <v>4299.817239890632</v>
      </c>
      <c r="O442" s="31">
        <f t="shared" si="19"/>
        <v>21499.08619945316</v>
      </c>
      <c r="P442" s="28" t="str">
        <f>P245</f>
        <v>ac</v>
      </c>
      <c r="Q442" s="397">
        <f>Q245</f>
        <v>5</v>
      </c>
      <c r="R442" s="248">
        <f t="shared" si="21"/>
        <v>5238.960000000001</v>
      </c>
      <c r="S442" s="139">
        <f>S245*(1+$R$410)</f>
        <v>26194.800000000003</v>
      </c>
      <c r="T442" s="26" t="str">
        <f>T245</f>
        <v>ac</v>
      </c>
      <c r="U442" s="398">
        <f>U245</f>
        <v>5</v>
      </c>
      <c r="V442" s="248">
        <f t="shared" si="22"/>
        <v>8934.12</v>
      </c>
      <c r="W442" s="139">
        <f>W245*(1+$V$410)</f>
        <v>44670.600000000006</v>
      </c>
      <c r="X442" s="195" t="str">
        <f>X245</f>
        <v>ac</v>
      </c>
      <c r="Y442" s="398">
        <f>Y245</f>
        <v>5</v>
      </c>
      <c r="Z442" s="188">
        <f t="shared" si="23"/>
        <v>8934.12</v>
      </c>
      <c r="AA442" s="139">
        <f>AA245*(1+$Z$410)</f>
        <v>44670.600000000006</v>
      </c>
      <c r="AB442" s="195" t="str">
        <f>AB245</f>
        <v>ac</v>
      </c>
      <c r="AC442" s="398">
        <f>AC245</f>
        <v>5</v>
      </c>
      <c r="AD442" s="188">
        <f t="shared" si="24"/>
        <v>8934.12</v>
      </c>
      <c r="AE442" s="139">
        <f>AE245*(1+$AD$410)</f>
        <v>44670.600000000006</v>
      </c>
    </row>
    <row r="443" spans="1:31" ht="12">
      <c r="A443" s="85"/>
      <c r="B443" s="15"/>
      <c r="C443" s="15" t="str">
        <f>B247</f>
        <v>Tails Facility Areas (pipeline corridors, roads)</v>
      </c>
      <c r="D443" s="15"/>
      <c r="E443" s="15"/>
      <c r="F443" s="15"/>
      <c r="G443" s="15"/>
      <c r="H443" s="300">
        <f>H267*(1+$N$410)</f>
        <v>0</v>
      </c>
      <c r="I443" s="76">
        <f>I267*(1+$N$410)</f>
        <v>0</v>
      </c>
      <c r="J443" s="76">
        <f>J267*(1+$N$410)</f>
        <v>0</v>
      </c>
      <c r="K443" s="76">
        <f>K267*(1+$N$410)</f>
        <v>133724.31616059865</v>
      </c>
      <c r="L443" s="52" t="str">
        <f>L267</f>
        <v>ac</v>
      </c>
      <c r="M443" s="414">
        <f>M267</f>
        <v>31.1</v>
      </c>
      <c r="N443" s="26">
        <f t="shared" si="20"/>
        <v>4299.817239890632</v>
      </c>
      <c r="O443" s="31">
        <f t="shared" si="19"/>
        <v>133724.31616059865</v>
      </c>
      <c r="P443" s="28" t="str">
        <f>P267</f>
        <v>ac</v>
      </c>
      <c r="Q443" s="397">
        <f>Q267</f>
        <v>31.1</v>
      </c>
      <c r="R443" s="26">
        <f t="shared" si="21"/>
        <v>5238.96</v>
      </c>
      <c r="S443" s="139">
        <f>S267*(1+$R$410)</f>
        <v>162931.65600000002</v>
      </c>
      <c r="T443" s="26" t="str">
        <f>T267</f>
        <v>ac</v>
      </c>
      <c r="U443" s="398">
        <f>U267</f>
        <v>31.1</v>
      </c>
      <c r="V443" s="26">
        <f t="shared" si="22"/>
        <v>8934.12</v>
      </c>
      <c r="W443" s="139">
        <f>W267*(1+$V$410)</f>
        <v>277851.13200000004</v>
      </c>
      <c r="X443" s="195" t="str">
        <f>X267</f>
        <v>ac</v>
      </c>
      <c r="Y443" s="398">
        <f>Y267</f>
        <v>31.1</v>
      </c>
      <c r="Z443" s="138">
        <f t="shared" si="23"/>
        <v>8934.12</v>
      </c>
      <c r="AA443" s="139">
        <f>AA267*(1+$Z$410)</f>
        <v>277851.13200000004</v>
      </c>
      <c r="AB443" s="195" t="str">
        <f>AB267</f>
        <v>ac</v>
      </c>
      <c r="AC443" s="398">
        <f>AC267</f>
        <v>31.1</v>
      </c>
      <c r="AD443" s="138">
        <f t="shared" si="24"/>
        <v>8934.12</v>
      </c>
      <c r="AE443" s="139">
        <f>AE267*(1+$AD$410)</f>
        <v>277851.13200000004</v>
      </c>
    </row>
    <row r="444" spans="1:31" ht="12">
      <c r="A444" s="85"/>
      <c r="B444" s="15"/>
      <c r="C444" s="15" t="str">
        <f>B269</f>
        <v>Administrative Area Buildings</v>
      </c>
      <c r="D444" s="15"/>
      <c r="E444" s="15"/>
      <c r="F444" s="15"/>
      <c r="G444" s="15"/>
      <c r="H444" s="300">
        <f>H289*(1+$N$410)</f>
        <v>54497.04993524248</v>
      </c>
      <c r="I444" s="76">
        <f>I289*(1+$N$410)</f>
        <v>81745.57490286372</v>
      </c>
      <c r="J444" s="76">
        <f>J289*(1+$N$410)</f>
        <v>0</v>
      </c>
      <c r="K444" s="76">
        <f>K289*(1+$N$410)</f>
        <v>136242.62483810622</v>
      </c>
      <c r="L444" s="52" t="str">
        <f>L289</f>
        <v>ac</v>
      </c>
      <c r="M444" s="414">
        <f>M289</f>
        <v>0</v>
      </c>
      <c r="N444" s="26" t="e">
        <f t="shared" si="20"/>
        <v>#DIV/0!</v>
      </c>
      <c r="O444" s="31">
        <f t="shared" si="19"/>
        <v>136242.62483810622</v>
      </c>
      <c r="P444" s="28" t="str">
        <f>P289</f>
        <v>ac</v>
      </c>
      <c r="Q444" s="397">
        <f>Q289</f>
        <v>0</v>
      </c>
      <c r="R444" s="26" t="e">
        <f t="shared" si="21"/>
        <v>#DIV/0!</v>
      </c>
      <c r="S444" s="139">
        <f>S289*(1+$R$410)</f>
        <v>166000</v>
      </c>
      <c r="T444" s="26" t="str">
        <f>T289</f>
        <v>ac</v>
      </c>
      <c r="U444" s="398">
        <f>U289</f>
        <v>0</v>
      </c>
      <c r="V444" s="26" t="e">
        <f t="shared" si="22"/>
        <v>#DIV/0!</v>
      </c>
      <c r="W444" s="139">
        <f>W289*(1+$V$410)</f>
        <v>166000</v>
      </c>
      <c r="X444" s="195" t="str">
        <f>X289</f>
        <v>ac</v>
      </c>
      <c r="Y444" s="398">
        <f>Y289</f>
        <v>0</v>
      </c>
      <c r="Z444" s="138" t="e">
        <f t="shared" si="23"/>
        <v>#DIV/0!</v>
      </c>
      <c r="AA444" s="139">
        <f>AA289*(1+$Z$410)</f>
        <v>166000</v>
      </c>
      <c r="AB444" s="195" t="str">
        <f>AB289</f>
        <v>ac</v>
      </c>
      <c r="AC444" s="398">
        <f>AC289</f>
        <v>0</v>
      </c>
      <c r="AD444" s="138" t="e">
        <f t="shared" si="24"/>
        <v>#DIV/0!</v>
      </c>
      <c r="AE444" s="139">
        <f>AE289*(1+$AD$410)</f>
        <v>166000</v>
      </c>
    </row>
    <row r="445" spans="1:31" ht="12">
      <c r="A445" s="85"/>
      <c r="B445" s="15"/>
      <c r="C445" s="15" t="str">
        <f>B291</f>
        <v>Power/Telephone Lines</v>
      </c>
      <c r="D445" s="15"/>
      <c r="E445" s="15"/>
      <c r="F445" s="15"/>
      <c r="G445" s="15"/>
      <c r="H445" s="300">
        <f>H311*(1+$N$410)</f>
        <v>20436.39372571593</v>
      </c>
      <c r="I445" s="76">
        <f>I311*(1+$N$410)</f>
        <v>27248.52496762124</v>
      </c>
      <c r="J445" s="76">
        <f>J311*(1+$N$410)</f>
        <v>0</v>
      </c>
      <c r="K445" s="76">
        <f>K311*(1+$N$410)</f>
        <v>47684.918693337175</v>
      </c>
      <c r="L445" s="52" t="str">
        <f>L311</f>
        <v>ac</v>
      </c>
      <c r="M445" s="414">
        <f>M311</f>
        <v>0</v>
      </c>
      <c r="N445" s="248" t="e">
        <f t="shared" si="20"/>
        <v>#DIV/0!</v>
      </c>
      <c r="O445" s="31">
        <f t="shared" si="19"/>
        <v>47684.918693337175</v>
      </c>
      <c r="P445" s="28" t="str">
        <f>P311</f>
        <v>ac</v>
      </c>
      <c r="Q445" s="397">
        <f>Q311</f>
        <v>0</v>
      </c>
      <c r="R445" s="248" t="e">
        <f t="shared" si="21"/>
        <v>#DIV/0!</v>
      </c>
      <c r="S445" s="139">
        <f>S311*(1+$R$410)</f>
        <v>58100.00000000001</v>
      </c>
      <c r="T445" s="26" t="str">
        <f>T311</f>
        <v>ac</v>
      </c>
      <c r="U445" s="398">
        <f>U311</f>
        <v>0</v>
      </c>
      <c r="V445" s="248" t="e">
        <f t="shared" si="22"/>
        <v>#DIV/0!</v>
      </c>
      <c r="W445" s="139">
        <f>W311*(1+$V$410)</f>
        <v>58100.00000000001</v>
      </c>
      <c r="X445" s="195" t="str">
        <f>X311</f>
        <v>ac</v>
      </c>
      <c r="Y445" s="398">
        <f>Y311</f>
        <v>0</v>
      </c>
      <c r="Z445" s="188" t="e">
        <f t="shared" si="23"/>
        <v>#DIV/0!</v>
      </c>
      <c r="AA445" s="139">
        <f>AA311*(1+$Z$410)</f>
        <v>58100.00000000001</v>
      </c>
      <c r="AB445" s="195" t="str">
        <f>AB311</f>
        <v>ac</v>
      </c>
      <c r="AC445" s="398">
        <f>AC311</f>
        <v>0</v>
      </c>
      <c r="AD445" s="188" t="e">
        <f t="shared" si="24"/>
        <v>#DIV/0!</v>
      </c>
      <c r="AE445" s="139">
        <f>AE311*(1+$AD$410)</f>
        <v>58100.00000000001</v>
      </c>
    </row>
    <row r="446" spans="1:31" ht="12">
      <c r="A446" s="85"/>
      <c r="B446" s="15"/>
      <c r="C446" s="15" t="str">
        <f>B313</f>
        <v>Fuel Storage Tank</v>
      </c>
      <c r="D446" s="15"/>
      <c r="E446" s="15"/>
      <c r="F446" s="15"/>
      <c r="G446" s="15"/>
      <c r="H446" s="300">
        <f>H333*(1+$N$410)</f>
        <v>6812.13124190531</v>
      </c>
      <c r="I446" s="76">
        <f>I333*(1+$N$410)</f>
        <v>4087.2787451431864</v>
      </c>
      <c r="J446" s="76">
        <f>J333*(1+$N$410)</f>
        <v>0</v>
      </c>
      <c r="K446" s="76">
        <f>K333*(1+$N$410)</f>
        <v>10899.409987048497</v>
      </c>
      <c r="L446" s="52" t="str">
        <f>L333</f>
        <v>ac</v>
      </c>
      <c r="M446" s="414">
        <f>M333</f>
        <v>0</v>
      </c>
      <c r="N446" s="248" t="e">
        <f t="shared" si="20"/>
        <v>#DIV/0!</v>
      </c>
      <c r="O446" s="31">
        <f t="shared" si="19"/>
        <v>10899.409987048497</v>
      </c>
      <c r="P446" s="28" t="str">
        <f>P333</f>
        <v>ac</v>
      </c>
      <c r="Q446" s="397">
        <f>Q333</f>
        <v>0</v>
      </c>
      <c r="R446" s="248" t="e">
        <f t="shared" si="21"/>
        <v>#DIV/0!</v>
      </c>
      <c r="S446" s="139">
        <f>S333*(1+$R$410)</f>
        <v>13280.000000000002</v>
      </c>
      <c r="T446" s="26" t="str">
        <f>T333</f>
        <v>ac</v>
      </c>
      <c r="U446" s="398">
        <f>U333</f>
        <v>0</v>
      </c>
      <c r="V446" s="248" t="e">
        <f t="shared" si="22"/>
        <v>#DIV/0!</v>
      </c>
      <c r="W446" s="139">
        <f>W333*(1+$V$410)</f>
        <v>13280.000000000002</v>
      </c>
      <c r="X446" s="195" t="str">
        <f>X333</f>
        <v>ac</v>
      </c>
      <c r="Y446" s="398">
        <f>Y333</f>
        <v>0</v>
      </c>
      <c r="Z446" s="188" t="e">
        <f t="shared" si="23"/>
        <v>#DIV/0!</v>
      </c>
      <c r="AA446" s="139">
        <f>AA333*(1+$Z$410)</f>
        <v>13280.000000000002</v>
      </c>
      <c r="AB446" s="195" t="str">
        <f>AB333</f>
        <v>ac</v>
      </c>
      <c r="AC446" s="398">
        <f>AC333</f>
        <v>0</v>
      </c>
      <c r="AD446" s="188" t="e">
        <f t="shared" si="24"/>
        <v>#DIV/0!</v>
      </c>
      <c r="AE446" s="139">
        <f>AE333*(1+$AD$410)</f>
        <v>13280.000000000002</v>
      </c>
    </row>
    <row r="447" spans="1:31" ht="12">
      <c r="A447" s="85"/>
      <c r="B447" s="15"/>
      <c r="C447" s="15" t="str">
        <f>B335</f>
        <v>Infiltration Gallery</v>
      </c>
      <c r="D447" s="15"/>
      <c r="E447" s="15"/>
      <c r="F447" s="15"/>
      <c r="G447" s="15"/>
      <c r="H447" s="300">
        <f>H355*(1+$N$410)</f>
        <v>681.2131241905311</v>
      </c>
      <c r="I447" s="76">
        <f>I355*(1+$N$410)</f>
        <v>681.2131241905311</v>
      </c>
      <c r="J447" s="76">
        <f>J355*(1+$N$410)</f>
        <v>0</v>
      </c>
      <c r="K447" s="76">
        <f>K355*(1+$N$410)</f>
        <v>2125.384947474457</v>
      </c>
      <c r="L447" s="52" t="str">
        <f>L355</f>
        <v>cy</v>
      </c>
      <c r="M447" s="414">
        <f>M355</f>
        <v>20</v>
      </c>
      <c r="N447" s="248">
        <f t="shared" si="20"/>
        <v>106.26924737372285</v>
      </c>
      <c r="O447" s="31">
        <f t="shared" si="19"/>
        <v>2125.384947474457</v>
      </c>
      <c r="P447" s="28" t="str">
        <f>P355</f>
        <v>cy</v>
      </c>
      <c r="Q447" s="397">
        <f>Q355</f>
        <v>20</v>
      </c>
      <c r="R447" s="248">
        <f t="shared" si="21"/>
        <v>129.48000000000002</v>
      </c>
      <c r="S447" s="139">
        <f>S355*(1+$R$410)</f>
        <v>2589.6000000000004</v>
      </c>
      <c r="T447" s="26" t="str">
        <f>T355</f>
        <v>ac</v>
      </c>
      <c r="U447" s="398">
        <f>U355</f>
        <v>20</v>
      </c>
      <c r="V447" s="248">
        <f t="shared" si="22"/>
        <v>129.48000000000002</v>
      </c>
      <c r="W447" s="139">
        <f>W355*(1+$V$410)</f>
        <v>2589.6000000000004</v>
      </c>
      <c r="X447" s="195" t="str">
        <f>X355</f>
        <v>ac</v>
      </c>
      <c r="Y447" s="398">
        <f>Y355</f>
        <v>20</v>
      </c>
      <c r="Z447" s="188">
        <f t="shared" si="23"/>
        <v>129.48000000000002</v>
      </c>
      <c r="AA447" s="139">
        <f>AA355*(1+$Z$410)</f>
        <v>2589.6000000000004</v>
      </c>
      <c r="AB447" s="195" t="str">
        <f>AB355</f>
        <v>ac</v>
      </c>
      <c r="AC447" s="398">
        <f>AC355</f>
        <v>20</v>
      </c>
      <c r="AD447" s="188">
        <f t="shared" si="24"/>
        <v>129.48000000000002</v>
      </c>
      <c r="AE447" s="139">
        <f>AE355*(1+$AD$410)</f>
        <v>2589.6000000000004</v>
      </c>
    </row>
    <row r="448" spans="1:31" ht="12">
      <c r="A448" s="85"/>
      <c r="B448" s="15"/>
      <c r="C448" s="15" t="str">
        <f>B357</f>
        <v>Earth Retaining Bin Walls</v>
      </c>
      <c r="D448" s="15"/>
      <c r="E448" s="15"/>
      <c r="F448" s="15"/>
      <c r="G448" s="15"/>
      <c r="H448" s="300">
        <f>H377*(1+$N$410)</f>
        <v>4768.491869333718</v>
      </c>
      <c r="I448" s="76">
        <f>I377*(1+$N$410)</f>
        <v>18392.754353144337</v>
      </c>
      <c r="J448" s="76">
        <f>J377*(1+$N$410)</f>
        <v>0</v>
      </c>
      <c r="K448" s="76">
        <f>K377*(1+$N$410)</f>
        <v>23161.246222478054</v>
      </c>
      <c r="L448" s="52" t="str">
        <f>L377</f>
        <v>ac</v>
      </c>
      <c r="M448" s="54">
        <f>M377</f>
        <v>0</v>
      </c>
      <c r="N448" s="248" t="e">
        <f t="shared" si="20"/>
        <v>#DIV/0!</v>
      </c>
      <c r="O448" s="31">
        <f t="shared" si="19"/>
        <v>23161.246222478054</v>
      </c>
      <c r="P448" s="28" t="str">
        <f>P377</f>
        <v>ac</v>
      </c>
      <c r="Q448" s="53">
        <f>Q377</f>
        <v>0</v>
      </c>
      <c r="R448" s="248" t="e">
        <f t="shared" si="21"/>
        <v>#DIV/0!</v>
      </c>
      <c r="S448" s="139">
        <f>S377*(1+$R$410)</f>
        <v>28220.000000000004</v>
      </c>
      <c r="T448" s="26" t="str">
        <f>T377</f>
        <v>ac</v>
      </c>
      <c r="U448" s="178">
        <f>U377</f>
        <v>0</v>
      </c>
      <c r="V448" s="248" t="e">
        <f t="shared" si="22"/>
        <v>#DIV/0!</v>
      </c>
      <c r="W448" s="139">
        <f>W377*(1+$V$410)</f>
        <v>28220.000000000004</v>
      </c>
      <c r="X448" s="195" t="str">
        <f>X377</f>
        <v>ac</v>
      </c>
      <c r="Y448" s="178">
        <f>Y377</f>
        <v>0</v>
      </c>
      <c r="Z448" s="188" t="e">
        <f t="shared" si="23"/>
        <v>#DIV/0!</v>
      </c>
      <c r="AA448" s="139">
        <f>AA377*(1+$Z$410)</f>
        <v>28220.000000000004</v>
      </c>
      <c r="AB448" s="195" t="str">
        <f>AB377</f>
        <v>ac</v>
      </c>
      <c r="AC448" s="178">
        <f>AC377</f>
        <v>0</v>
      </c>
      <c r="AD448" s="188" t="e">
        <f t="shared" si="24"/>
        <v>#DIV/0!</v>
      </c>
      <c r="AE448" s="139">
        <f>AE377*(1+$AD$410)</f>
        <v>28220.000000000004</v>
      </c>
    </row>
    <row r="449" spans="1:31" ht="12">
      <c r="A449" s="85"/>
      <c r="B449" s="15" t="str">
        <f>B379</f>
        <v>Subtotal Facilities, Roads, and Other</v>
      </c>
      <c r="C449" s="15"/>
      <c r="D449" s="15"/>
      <c r="E449" s="15"/>
      <c r="F449" s="15"/>
      <c r="G449" s="15"/>
      <c r="H449" s="300">
        <f>SUM(H436:H448)</f>
        <v>528621.384371852</v>
      </c>
      <c r="I449" s="76">
        <f>SUM(I436:I448)</f>
        <v>471944.45243919984</v>
      </c>
      <c r="J449" s="76">
        <f>SUM(J436:J448)</f>
        <v>0</v>
      </c>
      <c r="K449" s="302">
        <f>SUM(K436:K448)</f>
        <v>1527880.9268959563</v>
      </c>
      <c r="L449" s="52" t="str">
        <f>L379</f>
        <v>ac</v>
      </c>
      <c r="M449" s="54">
        <f>M436+M437+M438+M439+M440+M441+M442+M443+M444+M445+M446+M448</f>
        <v>112.70000000000002</v>
      </c>
      <c r="N449" s="248">
        <f t="shared" si="20"/>
        <v>13557.062350452139</v>
      </c>
      <c r="O449" s="31">
        <f>SUM(O436:O448)</f>
        <v>1527880.9268959563</v>
      </c>
      <c r="P449" s="28" t="str">
        <f>P379</f>
        <v>ac</v>
      </c>
      <c r="Q449" s="53">
        <f>Q436+Q437+Q438+Q439+Q440+Q441+Q442+Q443+Q444+Q445+Q446+Q448</f>
        <v>112.70000000000002</v>
      </c>
      <c r="R449" s="248">
        <f t="shared" si="21"/>
        <v>16518.122377994674</v>
      </c>
      <c r="S449" s="139">
        <f>SUM(S436:S448)</f>
        <v>1861592.3920000002</v>
      </c>
      <c r="T449" s="28" t="str">
        <f>T379</f>
        <v>ac</v>
      </c>
      <c r="U449" s="53">
        <f>U436+U437+U438+U439+U440+U441+U442+U443+U444+U445+U446+U448</f>
        <v>112.70000000000002</v>
      </c>
      <c r="V449" s="248">
        <f t="shared" si="22"/>
        <v>19759.617781721383</v>
      </c>
      <c r="W449" s="139">
        <f>SUM(W436:W448)</f>
        <v>2226908.924</v>
      </c>
      <c r="X449" s="195" t="str">
        <f>X379</f>
        <v>ac</v>
      </c>
      <c r="Y449" s="178">
        <f>Y436+Y437+Y438+Y439+Y440+Y441+Y442+Y443+Y444+Y445+Y446+Y448</f>
        <v>112.70000000000002</v>
      </c>
      <c r="Z449" s="188">
        <f t="shared" si="23"/>
        <v>19759.617781721383</v>
      </c>
      <c r="AA449" s="139">
        <f>SUM(AA436:AA448)</f>
        <v>2226908.924</v>
      </c>
      <c r="AB449" s="195" t="str">
        <f>AB379</f>
        <v>ac</v>
      </c>
      <c r="AC449" s="178">
        <f>AC436+AC437+AC438+AC439+AC440+AC441+AC442+AC443+AC444+AC445+AC446+AC448</f>
        <v>112.70000000000002</v>
      </c>
      <c r="AD449" s="188">
        <f t="shared" si="24"/>
        <v>19759.617781721383</v>
      </c>
      <c r="AE449" s="139">
        <f>SUM(AE436:AE448)</f>
        <v>2226908.924</v>
      </c>
    </row>
    <row r="450" spans="1:31" ht="12">
      <c r="A450" s="85"/>
      <c r="B450" s="15"/>
      <c r="C450" s="15"/>
      <c r="D450" s="15"/>
      <c r="E450" s="15"/>
      <c r="F450" s="15"/>
      <c r="G450" s="15"/>
      <c r="H450" s="300"/>
      <c r="I450" s="76"/>
      <c r="J450" s="76"/>
      <c r="K450" s="302"/>
      <c r="L450" s="52"/>
      <c r="M450" s="54"/>
      <c r="N450" s="26"/>
      <c r="O450" s="31"/>
      <c r="P450" s="28"/>
      <c r="Q450" s="53"/>
      <c r="R450" s="26"/>
      <c r="S450" s="139"/>
      <c r="T450" s="26"/>
      <c r="U450" s="178"/>
      <c r="V450" s="138"/>
      <c r="W450" s="139"/>
      <c r="X450" s="195"/>
      <c r="Y450" s="178"/>
      <c r="Z450" s="138"/>
      <c r="AA450" s="139"/>
      <c r="AB450" s="195"/>
      <c r="AC450" s="178"/>
      <c r="AD450" s="138"/>
      <c r="AE450" s="139"/>
    </row>
    <row r="451" spans="1:31" ht="12">
      <c r="A451" s="85" t="s">
        <v>105</v>
      </c>
      <c r="B451" s="15" t="str">
        <f>B381</f>
        <v>Miscellaneous</v>
      </c>
      <c r="C451" s="15"/>
      <c r="D451" s="15"/>
      <c r="E451" s="15"/>
      <c r="F451" s="15"/>
      <c r="G451" s="15"/>
      <c r="H451" s="300"/>
      <c r="I451" s="76"/>
      <c r="J451" s="76"/>
      <c r="K451" s="302"/>
      <c r="L451" s="30"/>
      <c r="M451" s="54"/>
      <c r="N451" s="26"/>
      <c r="O451" s="31"/>
      <c r="P451" s="78"/>
      <c r="Q451" s="53"/>
      <c r="R451" s="26"/>
      <c r="S451" s="139"/>
      <c r="T451" s="445"/>
      <c r="U451" s="178"/>
      <c r="V451" s="138"/>
      <c r="W451" s="139"/>
      <c r="X451" s="177"/>
      <c r="Y451" s="178"/>
      <c r="Z451" s="138"/>
      <c r="AA451" s="139"/>
      <c r="AB451" s="177"/>
      <c r="AC451" s="178"/>
      <c r="AD451" s="138"/>
      <c r="AE451" s="139"/>
    </row>
    <row r="452" spans="1:31" ht="12">
      <c r="A452" s="85"/>
      <c r="B452" s="15"/>
      <c r="C452" s="15" t="str">
        <f>B382</f>
        <v>Detoxification/Disposal of Wastes</v>
      </c>
      <c r="D452" s="15"/>
      <c r="E452" s="15"/>
      <c r="F452" s="15"/>
      <c r="G452" s="15"/>
      <c r="H452" s="300">
        <f>H382*(1+$N$410)</f>
        <v>0</v>
      </c>
      <c r="I452" s="76">
        <f>I382*(1+$N$410)</f>
        <v>0</v>
      </c>
      <c r="J452" s="76">
        <f>J382*(1+$N$410)</f>
        <v>0</v>
      </c>
      <c r="K452" s="302">
        <f>K382*(1+$N$410)</f>
        <v>0</v>
      </c>
      <c r="L452" s="52"/>
      <c r="M452" s="54"/>
      <c r="N452" s="26"/>
      <c r="O452" s="31">
        <f t="shared" si="19"/>
        <v>0</v>
      </c>
      <c r="P452" s="28"/>
      <c r="Q452" s="53"/>
      <c r="R452" s="26"/>
      <c r="S452" s="139">
        <f>S382*(1+$R$410)</f>
        <v>0</v>
      </c>
      <c r="T452" s="26"/>
      <c r="U452" s="178"/>
      <c r="V452" s="138"/>
      <c r="W452" s="139">
        <f>W382*(1+$V$410)</f>
        <v>0</v>
      </c>
      <c r="X452" s="195"/>
      <c r="Y452" s="178"/>
      <c r="Z452" s="138"/>
      <c r="AA452" s="139">
        <f>AA382*(1+$Z$410)</f>
        <v>0</v>
      </c>
      <c r="AB452" s="195"/>
      <c r="AC452" s="178"/>
      <c r="AD452" s="138"/>
      <c r="AE452" s="139">
        <f>AE382*(1+$AD$410)</f>
        <v>0</v>
      </c>
    </row>
    <row r="453" spans="1:31" ht="12">
      <c r="A453" s="85"/>
      <c r="B453" s="15"/>
      <c r="C453" s="15" t="str">
        <f>B384</f>
        <v>Public Safety</v>
      </c>
      <c r="D453" s="15"/>
      <c r="E453" s="15"/>
      <c r="F453" s="15"/>
      <c r="G453" s="15"/>
      <c r="H453" s="300">
        <f>H384*(1+$N$410)</f>
        <v>0</v>
      </c>
      <c r="I453" s="76">
        <f>I384*(1+$N$410)</f>
        <v>0</v>
      </c>
      <c r="J453" s="76">
        <f>J384*(1+$N$410)</f>
        <v>0</v>
      </c>
      <c r="K453" s="302">
        <f>SUM(H453:J453)</f>
        <v>0</v>
      </c>
      <c r="L453" s="52"/>
      <c r="M453" s="54"/>
      <c r="N453" s="26"/>
      <c r="O453" s="31">
        <f t="shared" si="19"/>
        <v>0</v>
      </c>
      <c r="P453" s="28"/>
      <c r="Q453" s="53"/>
      <c r="R453" s="26"/>
      <c r="S453" s="139">
        <f>SUM(P453:R453)</f>
        <v>0</v>
      </c>
      <c r="T453" s="250"/>
      <c r="U453" s="178"/>
      <c r="V453" s="138"/>
      <c r="W453" s="139">
        <f>SUM(T453:V453)</f>
        <v>0</v>
      </c>
      <c r="X453" s="195"/>
      <c r="Y453" s="178"/>
      <c r="Z453" s="138"/>
      <c r="AA453" s="139">
        <f>SUM(X453:Z453)</f>
        <v>0</v>
      </c>
      <c r="AB453" s="195"/>
      <c r="AC453" s="178"/>
      <c r="AD453" s="138"/>
      <c r="AE453" s="139">
        <f>SUM(AB453:AD453)</f>
        <v>0</v>
      </c>
    </row>
    <row r="454" spans="1:31" ht="12">
      <c r="A454" s="85"/>
      <c r="B454" s="15" t="str">
        <f>B386</f>
        <v>Subtotal Miscellaneous</v>
      </c>
      <c r="C454" s="15"/>
      <c r="D454" s="15"/>
      <c r="E454" s="15"/>
      <c r="F454" s="15"/>
      <c r="G454" s="15"/>
      <c r="H454" s="300">
        <f>SUM(H452:H453)</f>
        <v>0</v>
      </c>
      <c r="I454" s="76">
        <f>SUM(I452:I453)</f>
        <v>0</v>
      </c>
      <c r="J454" s="76">
        <f>SUM(J452:J453)</f>
        <v>0</v>
      </c>
      <c r="K454" s="302">
        <f>H454+I454+J454</f>
        <v>0</v>
      </c>
      <c r="L454" s="30"/>
      <c r="M454" s="54"/>
      <c r="N454" s="26"/>
      <c r="O454" s="31">
        <f>SUM(O452:O453)</f>
        <v>0</v>
      </c>
      <c r="P454" s="78"/>
      <c r="Q454" s="53"/>
      <c r="R454" s="26"/>
      <c r="S454" s="139">
        <f>P454+Q454+R454</f>
        <v>0</v>
      </c>
      <c r="T454" s="140"/>
      <c r="U454" s="178"/>
      <c r="V454" s="138"/>
      <c r="W454" s="139">
        <f>T454+U454+V454</f>
        <v>0</v>
      </c>
      <c r="X454" s="177"/>
      <c r="Y454" s="178"/>
      <c r="Z454" s="138"/>
      <c r="AA454" s="139">
        <f>X454+Y454+Z454</f>
        <v>0</v>
      </c>
      <c r="AB454" s="177"/>
      <c r="AC454" s="178"/>
      <c r="AD454" s="138"/>
      <c r="AE454" s="139">
        <f>AB454+AC454+AD454</f>
        <v>0</v>
      </c>
    </row>
    <row r="455" spans="1:31" ht="12">
      <c r="A455" s="85"/>
      <c r="B455" s="15"/>
      <c r="C455" s="15"/>
      <c r="D455" s="15"/>
      <c r="E455" s="15"/>
      <c r="F455" s="15"/>
      <c r="G455" s="15"/>
      <c r="H455" s="300"/>
      <c r="I455" s="76"/>
      <c r="J455" s="76"/>
      <c r="K455" s="271"/>
      <c r="L455" s="30"/>
      <c r="M455" s="54"/>
      <c r="N455" s="26"/>
      <c r="O455" s="31"/>
      <c r="P455" s="78"/>
      <c r="Q455" s="53"/>
      <c r="R455" s="26"/>
      <c r="S455" s="139"/>
      <c r="T455" s="140"/>
      <c r="U455" s="178"/>
      <c r="V455" s="138"/>
      <c r="W455" s="139"/>
      <c r="X455" s="177"/>
      <c r="Y455" s="178"/>
      <c r="Z455" s="138"/>
      <c r="AA455" s="139"/>
      <c r="AB455" s="177"/>
      <c r="AC455" s="178"/>
      <c r="AD455" s="138"/>
      <c r="AE455" s="139"/>
    </row>
    <row r="456" spans="1:31" ht="12">
      <c r="A456" s="85" t="s">
        <v>106</v>
      </c>
      <c r="B456" s="15" t="str">
        <f>B388</f>
        <v>Water Treatment Capture, Pump, Treatment and Discharge</v>
      </c>
      <c r="C456" s="15"/>
      <c r="D456" s="15"/>
      <c r="E456" s="15"/>
      <c r="F456" s="15"/>
      <c r="G456" s="15"/>
      <c r="H456" s="300">
        <f>H396*(1+$N$410)</f>
        <v>0</v>
      </c>
      <c r="I456" s="76">
        <f>I396*(1+$N$410)</f>
        <v>0</v>
      </c>
      <c r="J456" s="76">
        <f>J396*(1+$N$410)</f>
        <v>0</v>
      </c>
      <c r="K456" s="76">
        <f>K396*(1+$N$410)</f>
        <v>245236.72470859118</v>
      </c>
      <c r="L456" s="52" t="str">
        <f>L396</f>
        <v>cy</v>
      </c>
      <c r="M456" s="54">
        <f>M396</f>
        <v>3000</v>
      </c>
      <c r="N456" s="248">
        <f t="shared" si="20"/>
        <v>81.74557490286372</v>
      </c>
      <c r="O456" s="31">
        <f t="shared" si="19"/>
        <v>245236.72470859118</v>
      </c>
      <c r="P456" s="28" t="str">
        <f>P396</f>
        <v>cy</v>
      </c>
      <c r="Q456" s="53">
        <f>Q396</f>
        <v>3000</v>
      </c>
      <c r="R456" s="248">
        <f>S456/Q456</f>
        <v>99.6</v>
      </c>
      <c r="S456" s="139">
        <f>S396*(1+$R$410)</f>
        <v>298800</v>
      </c>
      <c r="T456" s="250" t="str">
        <f>T396</f>
        <v>lot</v>
      </c>
      <c r="U456" s="178">
        <f>U396</f>
        <v>3007</v>
      </c>
      <c r="V456" s="188">
        <f>W456/U456</f>
        <v>138.01130695044898</v>
      </c>
      <c r="W456" s="139">
        <f>W396*(1+$V$410)</f>
        <v>415000.00000000006</v>
      </c>
      <c r="X456" s="195" t="str">
        <f>X396</f>
        <v>lot</v>
      </c>
      <c r="Y456" s="178">
        <f>Y396</f>
        <v>3050</v>
      </c>
      <c r="Z456" s="188">
        <f>AA456/Y456</f>
        <v>370.0983606557377</v>
      </c>
      <c r="AA456" s="139">
        <f>AA396*(1+$Z$410)</f>
        <v>1128800</v>
      </c>
      <c r="AB456" s="195" t="str">
        <f>AB396</f>
        <v>lot</v>
      </c>
      <c r="AC456" s="178">
        <f>AC396</f>
        <v>3100</v>
      </c>
      <c r="AD456" s="188">
        <f>AE456/AC456</f>
        <v>631.8709677419356</v>
      </c>
      <c r="AE456" s="139">
        <f>AE396*(1+$AD$410)</f>
        <v>1958800.0000000002</v>
      </c>
    </row>
    <row r="457" spans="1:31" ht="12">
      <c r="A457" s="85"/>
      <c r="B457" s="15"/>
      <c r="C457" s="15"/>
      <c r="D457" s="15"/>
      <c r="E457" s="15"/>
      <c r="F457" s="15"/>
      <c r="G457" s="15"/>
      <c r="H457" s="300"/>
      <c r="I457" s="76"/>
      <c r="J457" s="76"/>
      <c r="K457" s="302"/>
      <c r="L457" s="30"/>
      <c r="M457" s="54"/>
      <c r="N457" s="26"/>
      <c r="O457" s="31"/>
      <c r="P457" s="78"/>
      <c r="Q457" s="53"/>
      <c r="R457" s="26"/>
      <c r="S457" s="139"/>
      <c r="T457" s="273"/>
      <c r="U457" s="232"/>
      <c r="V457" s="233"/>
      <c r="W457" s="338"/>
      <c r="X457" s="177"/>
      <c r="Y457" s="178"/>
      <c r="Z457" s="138"/>
      <c r="AA457" s="139"/>
      <c r="AB457" s="177"/>
      <c r="AC457" s="178"/>
      <c r="AD457" s="138"/>
      <c r="AE457" s="139"/>
    </row>
    <row r="458" spans="1:31" ht="12.75" thickBot="1">
      <c r="A458" s="101"/>
      <c r="B458" s="50" t="s">
        <v>128</v>
      </c>
      <c r="C458" s="102"/>
      <c r="D458" s="102"/>
      <c r="E458" s="102"/>
      <c r="F458" s="102"/>
      <c r="G458" s="102"/>
      <c r="H458" s="322"/>
      <c r="I458" s="323"/>
      <c r="J458" s="323"/>
      <c r="K458" s="324">
        <f>K423+K428+K433+K449+K454+K456</f>
        <v>2423680</v>
      </c>
      <c r="L458" s="416"/>
      <c r="M458" s="417"/>
      <c r="N458" s="418"/>
      <c r="O458" s="272">
        <f>O423+O428+O433+O449+O454+O456</f>
        <v>2423680</v>
      </c>
      <c r="P458" s="430"/>
      <c r="Q458" s="417"/>
      <c r="R458" s="431"/>
      <c r="S458" s="253">
        <f>+S423+S428+S433+S449+S454+S456</f>
        <v>2953047.04</v>
      </c>
      <c r="T458" s="372"/>
      <c r="U458" s="462"/>
      <c r="V458" s="463"/>
      <c r="W458" s="495">
        <f>+W423+W428+W433+W449+W454+W456</f>
        <v>3813946.2800000003</v>
      </c>
      <c r="X458" s="496"/>
      <c r="Y458" s="497"/>
      <c r="Z458" s="498"/>
      <c r="AA458" s="495">
        <f>+AA423+AA428+AA433+AA449+AA454+AA456</f>
        <v>4527746.28</v>
      </c>
      <c r="AB458" s="496"/>
      <c r="AC458" s="497"/>
      <c r="AD458" s="498"/>
      <c r="AE458" s="495">
        <f>+AE423+AE428+AE433+AE449+AE454+AE456</f>
        <v>5357746.28</v>
      </c>
    </row>
    <row r="459" spans="1:31" ht="12">
      <c r="A459" s="373"/>
      <c r="B459" s="339"/>
      <c r="C459" s="339"/>
      <c r="D459" s="339"/>
      <c r="E459" s="339"/>
      <c r="F459" s="339"/>
      <c r="G459" s="339"/>
      <c r="H459" s="334"/>
      <c r="I459" s="334"/>
      <c r="J459" s="334"/>
      <c r="K459" s="334"/>
      <c r="L459" s="339"/>
      <c r="M459" s="341"/>
      <c r="N459" s="334"/>
      <c r="O459" s="334"/>
      <c r="P459" s="374"/>
      <c r="Q459" s="375"/>
      <c r="S459" s="376"/>
      <c r="T459" s="374"/>
      <c r="U459" s="375"/>
      <c r="V459" s="377"/>
      <c r="W459" s="378"/>
      <c r="X459" s="374"/>
      <c r="Y459" s="375"/>
      <c r="Z459" s="377"/>
      <c r="AA459" s="378"/>
      <c r="AB459" s="374"/>
      <c r="AC459" s="375"/>
      <c r="AD459" s="377"/>
      <c r="AE459" s="378"/>
    </row>
    <row r="460" spans="1:31" ht="12">
      <c r="A460" s="373"/>
      <c r="B460" s="339"/>
      <c r="C460" s="339"/>
      <c r="D460" s="339"/>
      <c r="E460" s="339"/>
      <c r="F460" s="339"/>
      <c r="G460" s="339"/>
      <c r="H460" s="334"/>
      <c r="I460" s="334"/>
      <c r="J460" s="334"/>
      <c r="K460" s="334"/>
      <c r="L460" s="339"/>
      <c r="M460" s="341"/>
      <c r="N460" s="334"/>
      <c r="O460" s="334"/>
      <c r="P460" s="374"/>
      <c r="Q460" s="375"/>
      <c r="S460" s="376"/>
      <c r="T460" s="374"/>
      <c r="U460" s="375"/>
      <c r="V460" s="378"/>
      <c r="W460" s="378"/>
      <c r="X460" s="374"/>
      <c r="Y460" s="375"/>
      <c r="Z460" s="378"/>
      <c r="AA460" s="378"/>
      <c r="AB460" s="374"/>
      <c r="AC460" s="375"/>
      <c r="AD460" s="378"/>
      <c r="AE460" s="378"/>
    </row>
    <row r="461" spans="1:31" ht="12">
      <c r="A461" s="373"/>
      <c r="B461" s="339"/>
      <c r="C461" s="339"/>
      <c r="D461" s="339"/>
      <c r="E461" s="339"/>
      <c r="F461" s="339"/>
      <c r="G461" s="339"/>
      <c r="H461" s="334"/>
      <c r="I461" s="334"/>
      <c r="J461" s="334"/>
      <c r="K461" s="334"/>
      <c r="L461" s="339"/>
      <c r="M461" s="341"/>
      <c r="N461" s="334"/>
      <c r="O461" s="334"/>
      <c r="P461" s="374"/>
      <c r="Q461" s="375"/>
      <c r="S461" s="376"/>
      <c r="T461" s="374"/>
      <c r="U461" s="375"/>
      <c r="V461" s="378"/>
      <c r="W461" s="378"/>
      <c r="X461" s="374"/>
      <c r="Y461" s="375"/>
      <c r="Z461" s="378"/>
      <c r="AA461" s="378"/>
      <c r="AB461" s="374"/>
      <c r="AC461" s="375"/>
      <c r="AD461" s="378"/>
      <c r="AE461" s="378"/>
    </row>
    <row r="462" spans="1:31" ht="12">
      <c r="A462" s="373"/>
      <c r="B462" s="339"/>
      <c r="C462" s="339"/>
      <c r="D462" s="339"/>
      <c r="E462" s="339"/>
      <c r="F462" s="339"/>
      <c r="G462" s="339"/>
      <c r="H462" s="334"/>
      <c r="I462" s="334"/>
      <c r="J462" s="334"/>
      <c r="K462" s="334"/>
      <c r="L462" s="339"/>
      <c r="M462" s="341"/>
      <c r="N462" s="334"/>
      <c r="O462" s="334"/>
      <c r="P462" s="374"/>
      <c r="Q462" s="375"/>
      <c r="S462" s="376"/>
      <c r="T462" s="374"/>
      <c r="U462" s="375"/>
      <c r="V462" s="378"/>
      <c r="W462" s="378"/>
      <c r="X462" s="374"/>
      <c r="Y462" s="375"/>
      <c r="Z462" s="378"/>
      <c r="AA462" s="378"/>
      <c r="AB462" s="374"/>
      <c r="AC462" s="375"/>
      <c r="AD462" s="378"/>
      <c r="AE462" s="378"/>
    </row>
    <row r="463" spans="1:31" ht="12">
      <c r="A463" s="373"/>
      <c r="B463" s="339"/>
      <c r="C463" s="339"/>
      <c r="D463" s="339"/>
      <c r="E463" s="339"/>
      <c r="F463" s="339"/>
      <c r="G463" s="339"/>
      <c r="H463" s="334"/>
      <c r="I463" s="334"/>
      <c r="J463" s="334"/>
      <c r="K463" s="334"/>
      <c r="L463" s="339"/>
      <c r="M463" s="341"/>
      <c r="N463" s="334"/>
      <c r="O463" s="334"/>
      <c r="P463" s="374"/>
      <c r="Q463" s="375"/>
      <c r="S463" s="376"/>
      <c r="T463" s="374"/>
      <c r="U463" s="375"/>
      <c r="V463" s="378"/>
      <c r="W463" s="378"/>
      <c r="X463" s="374"/>
      <c r="Y463" s="375"/>
      <c r="Z463" s="378"/>
      <c r="AA463" s="378"/>
      <c r="AB463" s="374"/>
      <c r="AC463" s="375"/>
      <c r="AD463" s="378"/>
      <c r="AE463" s="378"/>
    </row>
    <row r="464" spans="1:31" ht="12">
      <c r="A464" s="373"/>
      <c r="B464" s="339"/>
      <c r="C464" s="339"/>
      <c r="D464" s="339"/>
      <c r="E464" s="339"/>
      <c r="F464" s="339"/>
      <c r="G464" s="339"/>
      <c r="H464" s="339"/>
      <c r="I464" s="334"/>
      <c r="J464" s="334"/>
      <c r="K464" s="334"/>
      <c r="L464" s="339"/>
      <c r="M464" s="341"/>
      <c r="N464" s="334"/>
      <c r="O464" s="334"/>
      <c r="P464" s="374"/>
      <c r="Q464" s="375"/>
      <c r="S464" s="376"/>
      <c r="T464" s="374"/>
      <c r="U464" s="375"/>
      <c r="V464" s="378"/>
      <c r="W464" s="378"/>
      <c r="X464" s="374"/>
      <c r="Y464" s="375"/>
      <c r="Z464" s="378"/>
      <c r="AA464" s="378"/>
      <c r="AB464" s="374"/>
      <c r="AC464" s="375"/>
      <c r="AD464" s="378"/>
      <c r="AE464" s="378"/>
    </row>
    <row r="465" spans="1:31" ht="12">
      <c r="A465" s="373"/>
      <c r="B465" s="339"/>
      <c r="C465" s="339"/>
      <c r="D465" s="339"/>
      <c r="E465" s="339"/>
      <c r="F465" s="339"/>
      <c r="G465" s="339"/>
      <c r="H465" s="334"/>
      <c r="I465" s="334"/>
      <c r="J465" s="334"/>
      <c r="K465" s="334"/>
      <c r="L465" s="339"/>
      <c r="M465" s="341"/>
      <c r="N465" s="334"/>
      <c r="O465" s="334"/>
      <c r="P465" s="374"/>
      <c r="Q465" s="375"/>
      <c r="S465" s="376"/>
      <c r="T465" s="374"/>
      <c r="U465" s="375"/>
      <c r="V465" s="378"/>
      <c r="W465" s="378"/>
      <c r="X465" s="374"/>
      <c r="Y465" s="375"/>
      <c r="Z465" s="378"/>
      <c r="AA465" s="378"/>
      <c r="AB465" s="374"/>
      <c r="AC465" s="375"/>
      <c r="AD465" s="378"/>
      <c r="AE465" s="378"/>
    </row>
    <row r="466" spans="1:31" ht="12">
      <c r="A466" s="373"/>
      <c r="B466" s="339"/>
      <c r="C466" s="339"/>
      <c r="D466" s="339"/>
      <c r="E466" s="339"/>
      <c r="F466" s="339"/>
      <c r="G466" s="339"/>
      <c r="H466" s="334"/>
      <c r="I466" s="334"/>
      <c r="J466" s="334"/>
      <c r="K466" s="334"/>
      <c r="L466" s="339"/>
      <c r="M466" s="341"/>
      <c r="N466" s="334"/>
      <c r="O466" s="334"/>
      <c r="P466" s="374"/>
      <c r="Q466" s="375"/>
      <c r="S466" s="376"/>
      <c r="T466" s="374"/>
      <c r="U466" s="375"/>
      <c r="V466" s="378"/>
      <c r="W466" s="378"/>
      <c r="X466" s="374"/>
      <c r="Y466" s="375"/>
      <c r="Z466" s="378"/>
      <c r="AA466" s="378"/>
      <c r="AB466" s="374"/>
      <c r="AC466" s="375"/>
      <c r="AD466" s="378"/>
      <c r="AE466" s="378"/>
    </row>
    <row r="467" spans="1:31" ht="12">
      <c r="A467" s="373"/>
      <c r="B467" s="339"/>
      <c r="C467" s="339"/>
      <c r="D467" s="339"/>
      <c r="E467" s="339"/>
      <c r="F467" s="339"/>
      <c r="G467" s="339"/>
      <c r="H467" s="334"/>
      <c r="I467" s="334"/>
      <c r="J467" s="334"/>
      <c r="K467" s="334"/>
      <c r="L467" s="339"/>
      <c r="M467" s="341"/>
      <c r="N467" s="334"/>
      <c r="O467" s="334"/>
      <c r="P467" s="374"/>
      <c r="Q467" s="375"/>
      <c r="S467" s="376"/>
      <c r="T467" s="374"/>
      <c r="U467" s="375"/>
      <c r="V467" s="378"/>
      <c r="W467" s="378"/>
      <c r="X467" s="374"/>
      <c r="Y467" s="375"/>
      <c r="Z467" s="378"/>
      <c r="AA467" s="378"/>
      <c r="AB467" s="374"/>
      <c r="AC467" s="375"/>
      <c r="AD467" s="378"/>
      <c r="AE467" s="378"/>
    </row>
    <row r="468" spans="1:31" ht="12">
      <c r="A468" s="373"/>
      <c r="B468" s="339"/>
      <c r="C468" s="339"/>
      <c r="D468" s="339"/>
      <c r="E468" s="339"/>
      <c r="F468" s="339"/>
      <c r="G468" s="339"/>
      <c r="H468" s="334"/>
      <c r="I468" s="334"/>
      <c r="J468" s="334"/>
      <c r="K468" s="334"/>
      <c r="L468" s="339"/>
      <c r="M468" s="341"/>
      <c r="N468" s="334"/>
      <c r="O468" s="334"/>
      <c r="P468" s="374"/>
      <c r="Q468" s="375"/>
      <c r="S468" s="376"/>
      <c r="T468" s="374"/>
      <c r="U468" s="375"/>
      <c r="V468" s="378"/>
      <c r="W468" s="378"/>
      <c r="X468" s="374"/>
      <c r="Y468" s="375"/>
      <c r="Z468" s="378"/>
      <c r="AA468" s="378"/>
      <c r="AB468" s="374"/>
      <c r="AC468" s="375"/>
      <c r="AD468" s="378"/>
      <c r="AE468" s="378"/>
    </row>
    <row r="469" spans="1:31" ht="12">
      <c r="A469" s="373"/>
      <c r="B469" s="339"/>
      <c r="C469" s="339"/>
      <c r="D469" s="339"/>
      <c r="E469" s="339"/>
      <c r="F469" s="339"/>
      <c r="G469" s="339"/>
      <c r="H469" s="334"/>
      <c r="I469" s="334"/>
      <c r="J469" s="334"/>
      <c r="K469" s="334"/>
      <c r="L469" s="339"/>
      <c r="M469" s="341"/>
      <c r="N469" s="334"/>
      <c r="O469" s="334"/>
      <c r="P469" s="374"/>
      <c r="Q469" s="375"/>
      <c r="S469" s="376"/>
      <c r="T469" s="374"/>
      <c r="U469" s="375"/>
      <c r="V469" s="378"/>
      <c r="W469" s="378"/>
      <c r="X469" s="374"/>
      <c r="Y469" s="375"/>
      <c r="Z469" s="378"/>
      <c r="AA469" s="378"/>
      <c r="AB469" s="374"/>
      <c r="AC469" s="375"/>
      <c r="AD469" s="378"/>
      <c r="AE469" s="378"/>
    </row>
    <row r="470" spans="1:31" ht="12">
      <c r="A470" s="374"/>
      <c r="B470" s="339"/>
      <c r="C470" s="339"/>
      <c r="D470" s="339"/>
      <c r="E470" s="339"/>
      <c r="F470" s="339"/>
      <c r="G470" s="339"/>
      <c r="H470" s="339"/>
      <c r="I470" s="339"/>
      <c r="J470" s="339"/>
      <c r="K470" s="339"/>
      <c r="L470" s="339"/>
      <c r="M470" s="341"/>
      <c r="N470" s="334"/>
      <c r="O470" s="334"/>
      <c r="P470" s="374"/>
      <c r="Q470" s="374"/>
      <c r="T470" s="374"/>
      <c r="U470" s="374"/>
      <c r="V470" s="374"/>
      <c r="W470" s="374"/>
      <c r="X470" s="374"/>
      <c r="Y470" s="374"/>
      <c r="Z470" s="374"/>
      <c r="AA470" s="374"/>
      <c r="AB470" s="374"/>
      <c r="AC470" s="374"/>
      <c r="AD470" s="374"/>
      <c r="AE470" s="374"/>
    </row>
    <row r="471" ht="12">
      <c r="A471" s="234"/>
    </row>
    <row r="472" ht="12">
      <c r="A472" s="234"/>
    </row>
    <row r="473" ht="12">
      <c r="A473" s="234"/>
    </row>
    <row r="474" ht="12">
      <c r="A474" s="234"/>
    </row>
    <row r="475" ht="12">
      <c r="A475" s="234"/>
    </row>
    <row r="476" ht="12">
      <c r="A476" s="234"/>
    </row>
    <row r="477" ht="12">
      <c r="A477" s="234"/>
    </row>
    <row r="478" ht="12">
      <c r="A478" s="234"/>
    </row>
  </sheetData>
  <mergeCells count="6">
    <mergeCell ref="X5:AA5"/>
    <mergeCell ref="AB5:AE5"/>
    <mergeCell ref="C5:D6"/>
    <mergeCell ref="H5:O5"/>
    <mergeCell ref="P5:S5"/>
    <mergeCell ref="T5:W5"/>
  </mergeCells>
  <printOptions/>
  <pageMargins left="0.5" right="0.5" top="1" bottom="1" header="0.5" footer="0.5"/>
  <pageSetup fitToHeight="0" fitToWidth="1" horizontalDpi="600" verticalDpi="600" orientation="landscape" scale="39" r:id="rId1"/>
  <headerFooter alignWithMargins="0">
    <oddFooter>&amp;L&amp;"Braggadocio,Regular"CSP&amp;X2&amp;RPage &amp;P of &amp;N</oddFooter>
  </headerFooter>
  <rowBreaks count="5" manualBreakCount="5">
    <brk id="91" max="30" man="1"/>
    <brk id="180" max="30" man="1"/>
    <brk id="268" max="30" man="1"/>
    <brk id="356" max="30" man="1"/>
    <brk id="415" max="30" man="1"/>
  </rowBreaks>
  <ignoredErrors>
    <ignoredError sqref="L428:N428 N83:N84 N396 N423 K454 O449 O454 N87:N90 R423 V83" formula="1"/>
    <ignoredError sqref="A219 A210 A215:A216 A38:A39 B37:B39 O39 A86 AF88:IV88 C36:G39 H39 N37:N39 H37 I39:J39 L37:L39 K39 M39 I37:J37 K36:K37 M37 T39:W39 O36 B88:G88 K88 B85:G87 H85:H86 I85:I86 J85:J87 K85:K86 L85:L86 M85:M86 O85:O86 O88 AB39:AE39 A182:A199 T85:W86 X39:AA39 AF36:IV39 AF85:IV87" numberStoredAsText="1"/>
    <ignoredError sqref="N85:N86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410"/>
  <sheetViews>
    <sheetView tabSelected="1" zoomScale="80" zoomScaleNormal="80" zoomScaleSheetLayoutView="25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I23" sqref="I23"/>
    </sheetView>
  </sheetViews>
  <sheetFormatPr defaultColWidth="9.140625" defaultRowHeight="12.75"/>
  <cols>
    <col min="1" max="1" width="9.421875" style="230" customWidth="1"/>
    <col min="2" max="2" width="7.57421875" style="230" customWidth="1"/>
    <col min="3" max="5" width="9.140625" style="230" customWidth="1"/>
    <col min="6" max="6" width="10.8515625" style="230" customWidth="1"/>
    <col min="7" max="7" width="4.7109375" style="230" customWidth="1"/>
    <col min="8" max="8" width="37.28125" style="86" customWidth="1"/>
    <col min="9" max="9" width="24.140625" style="86" customWidth="1"/>
    <col min="10" max="10" width="26.140625" style="119" customWidth="1"/>
    <col min="11" max="12" width="24.8515625" style="119" customWidth="1"/>
    <col min="13" max="40" width="9.140625" style="111" customWidth="1"/>
    <col min="41" max="16384" width="9.140625" style="86" customWidth="1"/>
  </cols>
  <sheetData>
    <row r="1" spans="1:12" ht="12">
      <c r="A1" s="106" t="s">
        <v>137</v>
      </c>
      <c r="B1" s="106"/>
      <c r="C1" s="325"/>
      <c r="D1" s="325"/>
      <c r="E1" s="325"/>
      <c r="F1" s="325"/>
      <c r="G1" s="325"/>
      <c r="H1" s="134"/>
      <c r="I1" s="134"/>
      <c r="J1" s="116"/>
      <c r="K1" s="116"/>
      <c r="L1" s="116"/>
    </row>
    <row r="2" spans="1:12" ht="12">
      <c r="A2" s="7" t="s">
        <v>156</v>
      </c>
      <c r="B2" s="7"/>
      <c r="C2" s="329"/>
      <c r="D2" s="329"/>
      <c r="E2" s="329"/>
      <c r="F2" s="329"/>
      <c r="I2" s="111"/>
      <c r="J2" s="117"/>
      <c r="K2" s="117"/>
      <c r="L2" s="117"/>
    </row>
    <row r="3" spans="1:12" ht="12">
      <c r="A3" s="15"/>
      <c r="B3" s="15"/>
      <c r="I3" s="111"/>
      <c r="J3" s="118"/>
      <c r="K3" s="118"/>
      <c r="L3" s="118"/>
    </row>
    <row r="4" spans="1:12" ht="12.75" thickBot="1">
      <c r="A4" s="15"/>
      <c r="B4" s="15"/>
      <c r="H4" s="111"/>
      <c r="I4" s="111"/>
      <c r="J4" s="118"/>
      <c r="K4" s="118"/>
      <c r="L4" s="118"/>
    </row>
    <row r="5" spans="1:12" ht="12">
      <c r="A5" s="71"/>
      <c r="B5" s="72"/>
      <c r="C5" s="529" t="s">
        <v>0</v>
      </c>
      <c r="D5" s="529"/>
      <c r="E5" s="72"/>
      <c r="F5" s="72"/>
      <c r="G5" s="72"/>
      <c r="H5" s="536" t="s">
        <v>420</v>
      </c>
      <c r="I5" s="533" t="s">
        <v>493</v>
      </c>
      <c r="J5" s="533" t="s">
        <v>500</v>
      </c>
      <c r="K5" s="533" t="s">
        <v>513</v>
      </c>
      <c r="L5" s="533" t="s">
        <v>499</v>
      </c>
    </row>
    <row r="6" spans="1:227" ht="15" customHeight="1" thickBot="1">
      <c r="A6" s="525" t="s">
        <v>1</v>
      </c>
      <c r="B6" s="50"/>
      <c r="C6" s="535"/>
      <c r="D6" s="535"/>
      <c r="E6" s="50"/>
      <c r="F6" s="50"/>
      <c r="G6" s="50"/>
      <c r="H6" s="537"/>
      <c r="I6" s="534"/>
      <c r="J6" s="534"/>
      <c r="K6" s="534"/>
      <c r="L6" s="534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</row>
    <row r="7" spans="1:227" ht="48">
      <c r="A7" s="73"/>
      <c r="B7" s="15"/>
      <c r="C7" s="15"/>
      <c r="H7" s="120"/>
      <c r="I7" s="460" t="s">
        <v>494</v>
      </c>
      <c r="J7" s="121" t="s">
        <v>151</v>
      </c>
      <c r="K7" s="121" t="s">
        <v>154</v>
      </c>
      <c r="L7" s="121" t="s">
        <v>155</v>
      </c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</row>
    <row r="8" spans="1:227" ht="12">
      <c r="A8" s="74">
        <v>1</v>
      </c>
      <c r="B8" s="7" t="s">
        <v>130</v>
      </c>
      <c r="C8" s="7"/>
      <c r="D8" s="329"/>
      <c r="H8" s="120"/>
      <c r="I8" s="120"/>
      <c r="J8" s="473"/>
      <c r="K8" s="474"/>
      <c r="L8" s="474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</row>
    <row r="9" spans="1:227" ht="12">
      <c r="A9" s="74"/>
      <c r="B9" s="15" t="s">
        <v>179</v>
      </c>
      <c r="C9" s="15"/>
      <c r="D9" s="329"/>
      <c r="H9" s="121"/>
      <c r="I9" s="120"/>
      <c r="J9" s="473"/>
      <c r="K9" s="474"/>
      <c r="L9" s="474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</row>
    <row r="10" spans="1:227" ht="12">
      <c r="A10" s="74" t="s">
        <v>114</v>
      </c>
      <c r="B10" s="15"/>
      <c r="C10" s="15" t="s">
        <v>214</v>
      </c>
      <c r="D10" s="329"/>
      <c r="H10" s="120" t="s">
        <v>421</v>
      </c>
      <c r="I10" s="120"/>
      <c r="J10" s="121"/>
      <c r="K10" s="243"/>
      <c r="L10" s="243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</row>
    <row r="11" spans="1:227" ht="12">
      <c r="A11" s="74" t="s">
        <v>132</v>
      </c>
      <c r="B11" s="15"/>
      <c r="C11" s="15" t="s">
        <v>215</v>
      </c>
      <c r="D11" s="329"/>
      <c r="H11" s="121" t="s">
        <v>422</v>
      </c>
      <c r="I11" s="120"/>
      <c r="J11" s="473"/>
      <c r="K11" s="474"/>
      <c r="L11" s="474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</row>
    <row r="12" spans="1:227" ht="12">
      <c r="A12" s="74" t="s">
        <v>133</v>
      </c>
      <c r="B12" s="15"/>
      <c r="C12" s="15" t="s">
        <v>216</v>
      </c>
      <c r="D12" s="329"/>
      <c r="H12" s="120" t="s">
        <v>422</v>
      </c>
      <c r="I12" s="475"/>
      <c r="J12" s="473"/>
      <c r="K12" s="474"/>
      <c r="L12" s="474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</row>
    <row r="13" spans="1:227" ht="12">
      <c r="A13" s="74" t="s">
        <v>145</v>
      </c>
      <c r="B13" s="15"/>
      <c r="C13" s="15" t="s">
        <v>217</v>
      </c>
      <c r="D13" s="329"/>
      <c r="H13" s="121" t="s">
        <v>423</v>
      </c>
      <c r="I13" s="475"/>
      <c r="J13" s="473"/>
      <c r="K13" s="474"/>
      <c r="L13" s="474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</row>
    <row r="14" spans="1:227" ht="12">
      <c r="A14" s="74" t="s">
        <v>146</v>
      </c>
      <c r="B14" s="15"/>
      <c r="C14" s="15" t="s">
        <v>218</v>
      </c>
      <c r="D14" s="329"/>
      <c r="H14" s="121" t="s">
        <v>424</v>
      </c>
      <c r="I14" s="475"/>
      <c r="J14" s="473"/>
      <c r="K14" s="474"/>
      <c r="L14" s="474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</row>
    <row r="15" spans="1:227" ht="12">
      <c r="A15" s="74" t="s">
        <v>147</v>
      </c>
      <c r="B15" s="15"/>
      <c r="C15" s="15" t="s">
        <v>219</v>
      </c>
      <c r="D15" s="329"/>
      <c r="H15" s="121" t="s">
        <v>425</v>
      </c>
      <c r="I15" s="475"/>
      <c r="J15" s="473"/>
      <c r="K15" s="474"/>
      <c r="L15" s="474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</row>
    <row r="16" spans="1:227" ht="12">
      <c r="A16" s="74"/>
      <c r="B16" s="15"/>
      <c r="C16" s="15" t="s">
        <v>10</v>
      </c>
      <c r="D16" s="15"/>
      <c r="G16" s="339"/>
      <c r="H16" s="121"/>
      <c r="I16" s="475"/>
      <c r="J16" s="473"/>
      <c r="K16" s="474"/>
      <c r="L16" s="474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</row>
    <row r="17" spans="1:227" ht="12">
      <c r="A17" s="74" t="s">
        <v>220</v>
      </c>
      <c r="B17" s="15"/>
      <c r="C17" s="15"/>
      <c r="D17" s="15" t="s">
        <v>11</v>
      </c>
      <c r="H17" s="121"/>
      <c r="I17" s="475"/>
      <c r="J17" s="473"/>
      <c r="K17" s="474"/>
      <c r="L17" s="474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</row>
    <row r="18" spans="1:227" ht="12">
      <c r="A18" s="74" t="s">
        <v>221</v>
      </c>
      <c r="B18" s="15"/>
      <c r="C18" s="15"/>
      <c r="D18" s="15" t="s">
        <v>12</v>
      </c>
      <c r="H18" s="121"/>
      <c r="I18" s="475"/>
      <c r="J18" s="473"/>
      <c r="K18" s="474"/>
      <c r="L18" s="474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</row>
    <row r="19" spans="1:227" ht="12">
      <c r="A19" s="74" t="s">
        <v>222</v>
      </c>
      <c r="B19" s="15"/>
      <c r="C19" s="15"/>
      <c r="D19" s="15" t="s">
        <v>13</v>
      </c>
      <c r="H19" s="121"/>
      <c r="I19" s="475"/>
      <c r="J19" s="473"/>
      <c r="K19" s="474"/>
      <c r="L19" s="474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</row>
    <row r="20" spans="1:227" ht="12">
      <c r="A20" s="74" t="s">
        <v>223</v>
      </c>
      <c r="B20" s="15"/>
      <c r="C20" s="15"/>
      <c r="D20" s="15" t="s">
        <v>14</v>
      </c>
      <c r="H20" s="121"/>
      <c r="I20" s="475"/>
      <c r="J20" s="473"/>
      <c r="K20" s="474"/>
      <c r="L20" s="474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</row>
    <row r="21" spans="1:227" ht="12">
      <c r="A21" s="74"/>
      <c r="B21" s="15"/>
      <c r="C21" s="15" t="s">
        <v>15</v>
      </c>
      <c r="D21" s="15"/>
      <c r="E21" s="15"/>
      <c r="H21" s="121"/>
      <c r="I21" s="475"/>
      <c r="J21" s="473"/>
      <c r="K21" s="474"/>
      <c r="L21" s="474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</row>
    <row r="22" spans="1:227" ht="12">
      <c r="A22" s="74" t="s">
        <v>224</v>
      </c>
      <c r="B22" s="15"/>
      <c r="C22" s="15"/>
      <c r="D22" s="15" t="s">
        <v>11</v>
      </c>
      <c r="E22" s="15"/>
      <c r="H22" s="121"/>
      <c r="I22" s="475"/>
      <c r="J22" s="473"/>
      <c r="K22" s="474"/>
      <c r="L22" s="474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</row>
    <row r="23" spans="1:227" ht="12">
      <c r="A23" s="74" t="s">
        <v>225</v>
      </c>
      <c r="B23" s="15"/>
      <c r="C23" s="15"/>
      <c r="D23" s="15" t="s">
        <v>12</v>
      </c>
      <c r="E23" s="15"/>
      <c r="H23" s="121"/>
      <c r="I23" s="475"/>
      <c r="J23" s="473"/>
      <c r="K23" s="474"/>
      <c r="L23" s="474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</row>
    <row r="24" spans="1:227" ht="12">
      <c r="A24" s="74" t="s">
        <v>226</v>
      </c>
      <c r="B24" s="15"/>
      <c r="C24" s="15"/>
      <c r="D24" s="15" t="s">
        <v>13</v>
      </c>
      <c r="E24" s="15"/>
      <c r="H24" s="120"/>
      <c r="I24" s="475"/>
      <c r="J24" s="473"/>
      <c r="K24" s="474"/>
      <c r="L24" s="474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</row>
    <row r="25" spans="1:227" ht="12">
      <c r="A25" s="74" t="s">
        <v>227</v>
      </c>
      <c r="B25" s="15"/>
      <c r="C25" s="15"/>
      <c r="D25" s="15" t="s">
        <v>14</v>
      </c>
      <c r="E25" s="15"/>
      <c r="H25" s="120"/>
      <c r="I25" s="475"/>
      <c r="J25" s="473"/>
      <c r="K25" s="474"/>
      <c r="L25" s="474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</row>
    <row r="26" spans="1:227" ht="12">
      <c r="A26" s="74"/>
      <c r="B26" s="15"/>
      <c r="C26" s="15" t="s">
        <v>16</v>
      </c>
      <c r="D26" s="15"/>
      <c r="E26" s="15"/>
      <c r="H26" s="121"/>
      <c r="I26" s="475"/>
      <c r="J26" s="473"/>
      <c r="K26" s="474"/>
      <c r="L26" s="474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</row>
    <row r="27" spans="1:227" ht="12">
      <c r="A27" s="74"/>
      <c r="B27" s="15"/>
      <c r="C27" s="15" t="s">
        <v>10</v>
      </c>
      <c r="D27" s="15"/>
      <c r="E27" s="15"/>
      <c r="H27" s="120"/>
      <c r="I27" s="475"/>
      <c r="J27" s="473"/>
      <c r="K27" s="474"/>
      <c r="L27" s="474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</row>
    <row r="28" spans="1:227" ht="12">
      <c r="A28" s="74" t="s">
        <v>228</v>
      </c>
      <c r="B28" s="15"/>
      <c r="C28" s="15"/>
      <c r="D28" s="15" t="s">
        <v>17</v>
      </c>
      <c r="E28" s="15"/>
      <c r="H28" s="120"/>
      <c r="I28" s="475"/>
      <c r="J28" s="473"/>
      <c r="K28" s="474"/>
      <c r="L28" s="474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</row>
    <row r="29" spans="1:99" s="15" customFormat="1" ht="12">
      <c r="A29" s="74" t="s">
        <v>229</v>
      </c>
      <c r="D29" s="15" t="s">
        <v>18</v>
      </c>
      <c r="F29" s="230"/>
      <c r="G29" s="230"/>
      <c r="H29" s="240"/>
      <c r="I29" s="476"/>
      <c r="J29" s="240"/>
      <c r="K29" s="476"/>
      <c r="L29" s="242"/>
      <c r="M29" s="103"/>
      <c r="N29" s="31"/>
      <c r="O29" s="31"/>
      <c r="P29" s="49"/>
      <c r="Q29" s="103"/>
      <c r="R29" s="31"/>
      <c r="S29" s="31"/>
      <c r="T29" s="49"/>
      <c r="U29" s="103"/>
      <c r="V29" s="31"/>
      <c r="W29" s="31"/>
      <c r="X29" s="111"/>
      <c r="Y29" s="142"/>
      <c r="Z29" s="43"/>
      <c r="AA29" s="43"/>
      <c r="AB29" s="111"/>
      <c r="AC29" s="142"/>
      <c r="AD29" s="43"/>
      <c r="AE29" s="43"/>
      <c r="AF29" s="111"/>
      <c r="AG29" s="111"/>
      <c r="AH29" s="111"/>
      <c r="AI29" s="111"/>
      <c r="AJ29" s="111"/>
      <c r="AK29" s="111"/>
      <c r="AL29" s="111"/>
      <c r="AM29" s="111"/>
      <c r="AN29" s="111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</row>
    <row r="30" spans="1:99" s="15" customFormat="1" ht="12">
      <c r="A30" s="74"/>
      <c r="C30" s="15" t="s">
        <v>15</v>
      </c>
      <c r="F30" s="230"/>
      <c r="G30" s="230"/>
      <c r="H30" s="240"/>
      <c r="I30" s="476"/>
      <c r="J30" s="240"/>
      <c r="K30" s="476"/>
      <c r="L30" s="242"/>
      <c r="M30" s="103"/>
      <c r="N30" s="31"/>
      <c r="O30" s="31"/>
      <c r="P30" s="49"/>
      <c r="Q30" s="103"/>
      <c r="R30" s="31"/>
      <c r="S30" s="31"/>
      <c r="T30" s="49"/>
      <c r="U30" s="103"/>
      <c r="V30" s="31"/>
      <c r="W30" s="31"/>
      <c r="X30" s="111"/>
      <c r="Y30" s="142"/>
      <c r="Z30" s="43"/>
      <c r="AA30" s="43"/>
      <c r="AB30" s="111"/>
      <c r="AC30" s="142"/>
      <c r="AD30" s="43"/>
      <c r="AE30" s="43"/>
      <c r="AF30" s="111"/>
      <c r="AG30" s="111"/>
      <c r="AH30" s="111"/>
      <c r="AI30" s="111"/>
      <c r="AJ30" s="111"/>
      <c r="AK30" s="111"/>
      <c r="AL30" s="111"/>
      <c r="AM30" s="111"/>
      <c r="AN30" s="111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</row>
    <row r="31" spans="1:99" s="15" customFormat="1" ht="12">
      <c r="A31" s="74" t="s">
        <v>230</v>
      </c>
      <c r="D31" s="15" t="s">
        <v>17</v>
      </c>
      <c r="F31" s="230"/>
      <c r="G31" s="230"/>
      <c r="H31" s="240"/>
      <c r="I31" s="476"/>
      <c r="J31" s="240"/>
      <c r="K31" s="476"/>
      <c r="L31" s="242"/>
      <c r="M31" s="103"/>
      <c r="N31" s="31"/>
      <c r="O31" s="31"/>
      <c r="P31" s="111"/>
      <c r="Q31" s="142"/>
      <c r="R31" s="43"/>
      <c r="S31" s="43"/>
      <c r="T31" s="111"/>
      <c r="U31" s="142"/>
      <c r="V31" s="43"/>
      <c r="W31" s="43"/>
      <c r="X31" s="111"/>
      <c r="Y31" s="142"/>
      <c r="Z31" s="43"/>
      <c r="AA31" s="43"/>
      <c r="AB31" s="111"/>
      <c r="AC31" s="142"/>
      <c r="AD31" s="43"/>
      <c r="AE31" s="43"/>
      <c r="AF31" s="111"/>
      <c r="AG31" s="111"/>
      <c r="AH31" s="111"/>
      <c r="AI31" s="111"/>
      <c r="AJ31" s="111"/>
      <c r="AK31" s="111"/>
      <c r="AL31" s="111"/>
      <c r="AM31" s="111"/>
      <c r="AN31" s="111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</row>
    <row r="32" spans="1:99" s="15" customFormat="1" ht="12">
      <c r="A32" s="74" t="s">
        <v>231</v>
      </c>
      <c r="D32" s="15" t="s">
        <v>19</v>
      </c>
      <c r="F32" s="230"/>
      <c r="G32" s="230"/>
      <c r="H32" s="240"/>
      <c r="I32" s="476"/>
      <c r="J32" s="240"/>
      <c r="K32" s="476"/>
      <c r="L32" s="242"/>
      <c r="M32" s="103"/>
      <c r="N32" s="31"/>
      <c r="O32" s="31"/>
      <c r="P32" s="111"/>
      <c r="Q32" s="142"/>
      <c r="R32" s="43"/>
      <c r="S32" s="43"/>
      <c r="T32" s="111"/>
      <c r="U32" s="142"/>
      <c r="V32" s="43"/>
      <c r="W32" s="43"/>
      <c r="X32" s="111"/>
      <c r="Y32" s="142"/>
      <c r="Z32" s="43"/>
      <c r="AA32" s="43"/>
      <c r="AB32" s="111"/>
      <c r="AC32" s="142"/>
      <c r="AD32" s="43"/>
      <c r="AE32" s="43"/>
      <c r="AF32" s="111"/>
      <c r="AG32" s="111"/>
      <c r="AH32" s="111"/>
      <c r="AI32" s="111"/>
      <c r="AJ32" s="111"/>
      <c r="AK32" s="111"/>
      <c r="AL32" s="111"/>
      <c r="AM32" s="111"/>
      <c r="AN32" s="111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</row>
    <row r="33" spans="1:99" s="15" customFormat="1" ht="12">
      <c r="A33" s="74"/>
      <c r="C33" s="15" t="s">
        <v>20</v>
      </c>
      <c r="F33" s="230"/>
      <c r="G33" s="230"/>
      <c r="H33" s="240"/>
      <c r="I33" s="476"/>
      <c r="J33" s="240"/>
      <c r="K33" s="476"/>
      <c r="L33" s="242"/>
      <c r="M33" s="103"/>
      <c r="N33" s="31"/>
      <c r="O33" s="31"/>
      <c r="P33" s="49"/>
      <c r="Q33" s="49"/>
      <c r="R33" s="31"/>
      <c r="S33" s="105"/>
      <c r="T33" s="111"/>
      <c r="U33" s="111"/>
      <c r="V33" s="43"/>
      <c r="W33" s="207"/>
      <c r="X33" s="111"/>
      <c r="Y33" s="111"/>
      <c r="Z33" s="43"/>
      <c r="AA33" s="207"/>
      <c r="AB33" s="111"/>
      <c r="AC33" s="111"/>
      <c r="AD33" s="43"/>
      <c r="AE33" s="207"/>
      <c r="AF33" s="111"/>
      <c r="AG33" s="111"/>
      <c r="AH33" s="111"/>
      <c r="AI33" s="111"/>
      <c r="AJ33" s="111"/>
      <c r="AK33" s="111"/>
      <c r="AL33" s="111"/>
      <c r="AM33" s="111"/>
      <c r="AN33" s="111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</row>
    <row r="34" spans="1:99" s="15" customFormat="1" ht="12">
      <c r="A34" s="74"/>
      <c r="B34" s="15" t="s">
        <v>180</v>
      </c>
      <c r="D34" s="230"/>
      <c r="E34" s="230"/>
      <c r="F34" s="230"/>
      <c r="G34" s="230"/>
      <c r="H34" s="241"/>
      <c r="I34" s="242"/>
      <c r="J34" s="241"/>
      <c r="K34" s="242"/>
      <c r="L34" s="242"/>
      <c r="M34" s="103"/>
      <c r="N34" s="31"/>
      <c r="O34" s="31"/>
      <c r="P34" s="49"/>
      <c r="Q34" s="49"/>
      <c r="R34" s="31"/>
      <c r="S34" s="105"/>
      <c r="T34" s="111"/>
      <c r="U34" s="111"/>
      <c r="V34" s="43"/>
      <c r="W34" s="207"/>
      <c r="X34" s="111"/>
      <c r="Y34" s="111"/>
      <c r="Z34" s="43"/>
      <c r="AA34" s="207"/>
      <c r="AB34" s="111"/>
      <c r="AC34" s="111"/>
      <c r="AD34" s="43"/>
      <c r="AE34" s="207"/>
      <c r="AF34" s="111"/>
      <c r="AG34" s="111"/>
      <c r="AH34" s="111"/>
      <c r="AI34" s="111"/>
      <c r="AJ34" s="111"/>
      <c r="AK34" s="111"/>
      <c r="AL34" s="111"/>
      <c r="AM34" s="111"/>
      <c r="AN34" s="111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</row>
    <row r="35" spans="1:99" s="15" customFormat="1" ht="12">
      <c r="A35" s="74"/>
      <c r="D35" s="230"/>
      <c r="E35" s="230"/>
      <c r="F35" s="230"/>
      <c r="G35" s="230"/>
      <c r="H35" s="121"/>
      <c r="I35" s="476"/>
      <c r="J35" s="240"/>
      <c r="K35" s="476"/>
      <c r="L35" s="242"/>
      <c r="M35" s="103"/>
      <c r="N35" s="31"/>
      <c r="O35" s="31"/>
      <c r="P35" s="49"/>
      <c r="Q35" s="49"/>
      <c r="R35" s="226"/>
      <c r="S35" s="105"/>
      <c r="T35" s="111"/>
      <c r="U35" s="111"/>
      <c r="V35" s="227"/>
      <c r="W35" s="207"/>
      <c r="X35" s="111"/>
      <c r="Y35" s="111"/>
      <c r="Z35" s="227"/>
      <c r="AA35" s="207"/>
      <c r="AB35" s="111"/>
      <c r="AC35" s="111"/>
      <c r="AD35" s="227"/>
      <c r="AE35" s="207"/>
      <c r="AF35" s="111"/>
      <c r="AG35" s="111"/>
      <c r="AH35" s="111"/>
      <c r="AI35" s="111"/>
      <c r="AJ35" s="111"/>
      <c r="AK35" s="111"/>
      <c r="AL35" s="111"/>
      <c r="AM35" s="111"/>
      <c r="AN35" s="111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</row>
    <row r="36" spans="1:99" s="15" customFormat="1" ht="12">
      <c r="A36" s="74" t="s">
        <v>232</v>
      </c>
      <c r="B36" s="15" t="s">
        <v>181</v>
      </c>
      <c r="D36" s="230"/>
      <c r="E36" s="230"/>
      <c r="F36" s="230"/>
      <c r="G36" s="230"/>
      <c r="H36" s="121"/>
      <c r="I36" s="476"/>
      <c r="J36" s="240"/>
      <c r="K36" s="476"/>
      <c r="L36" s="242"/>
      <c r="M36" s="103"/>
      <c r="N36" s="31"/>
      <c r="O36" s="31"/>
      <c r="P36" s="49"/>
      <c r="Q36" s="49"/>
      <c r="R36" s="226"/>
      <c r="S36" s="105"/>
      <c r="T36" s="111"/>
      <c r="U36" s="111"/>
      <c r="V36" s="227"/>
      <c r="W36" s="207"/>
      <c r="X36" s="111"/>
      <c r="Y36" s="111"/>
      <c r="Z36" s="227"/>
      <c r="AA36" s="207"/>
      <c r="AB36" s="111"/>
      <c r="AC36" s="111"/>
      <c r="AD36" s="227"/>
      <c r="AE36" s="207"/>
      <c r="AF36" s="111"/>
      <c r="AG36" s="111"/>
      <c r="AH36" s="111"/>
      <c r="AI36" s="111"/>
      <c r="AJ36" s="111"/>
      <c r="AK36" s="111"/>
      <c r="AL36" s="111"/>
      <c r="AM36" s="111"/>
      <c r="AN36" s="111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</row>
    <row r="37" spans="1:99" s="15" customFormat="1" ht="12.75" thickBot="1">
      <c r="A37" s="79" t="s">
        <v>233</v>
      </c>
      <c r="B37" s="49" t="s">
        <v>26</v>
      </c>
      <c r="C37" s="49"/>
      <c r="D37" s="339"/>
      <c r="E37" s="339"/>
      <c r="F37" s="339"/>
      <c r="G37" s="339"/>
      <c r="H37" s="120"/>
      <c r="I37" s="476"/>
      <c r="J37" s="240"/>
      <c r="K37" s="476"/>
      <c r="L37" s="242"/>
      <c r="M37" s="103"/>
      <c r="N37" s="31"/>
      <c r="O37" s="31"/>
      <c r="P37" s="49"/>
      <c r="Q37" s="49"/>
      <c r="R37" s="104"/>
      <c r="S37" s="105"/>
      <c r="T37" s="111"/>
      <c r="U37" s="111"/>
      <c r="V37" s="206"/>
      <c r="W37" s="207"/>
      <c r="X37" s="111"/>
      <c r="Y37" s="111"/>
      <c r="Z37" s="206"/>
      <c r="AA37" s="207"/>
      <c r="AB37" s="111"/>
      <c r="AC37" s="111"/>
      <c r="AD37" s="206"/>
      <c r="AE37" s="207"/>
      <c r="AF37" s="111"/>
      <c r="AG37" s="111"/>
      <c r="AH37" s="111"/>
      <c r="AI37" s="111"/>
      <c r="AJ37" s="111"/>
      <c r="AK37" s="111"/>
      <c r="AL37" s="111"/>
      <c r="AM37" s="111"/>
      <c r="AN37" s="111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</row>
    <row r="38" spans="1:99" s="15" customFormat="1" ht="12.75" thickTop="1">
      <c r="A38" s="225"/>
      <c r="B38" s="91" t="s">
        <v>131</v>
      </c>
      <c r="C38" s="82"/>
      <c r="D38" s="345"/>
      <c r="E38" s="345"/>
      <c r="F38" s="345"/>
      <c r="G38" s="345"/>
      <c r="H38" s="482"/>
      <c r="I38" s="483"/>
      <c r="J38" s="484"/>
      <c r="K38" s="483"/>
      <c r="L38" s="389"/>
      <c r="M38" s="103"/>
      <c r="N38" s="226"/>
      <c r="O38" s="31"/>
      <c r="P38" s="49"/>
      <c r="Q38" s="103"/>
      <c r="R38" s="31"/>
      <c r="S38" s="105"/>
      <c r="T38" s="111"/>
      <c r="U38" s="142"/>
      <c r="V38" s="43"/>
      <c r="W38" s="207"/>
      <c r="X38" s="111"/>
      <c r="Y38" s="142"/>
      <c r="Z38" s="43"/>
      <c r="AA38" s="207"/>
      <c r="AB38" s="111"/>
      <c r="AC38" s="142"/>
      <c r="AD38" s="43"/>
      <c r="AE38" s="207"/>
      <c r="AF38" s="111"/>
      <c r="AG38" s="111"/>
      <c r="AH38" s="111"/>
      <c r="AI38" s="111"/>
      <c r="AJ38" s="111"/>
      <c r="AK38" s="111"/>
      <c r="AL38" s="111"/>
      <c r="AM38" s="111"/>
      <c r="AN38" s="111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</row>
    <row r="39" spans="1:99" s="15" customFormat="1" ht="12">
      <c r="A39" s="337"/>
      <c r="B39" s="234"/>
      <c r="C39" s="339"/>
      <c r="D39" s="339"/>
      <c r="E39" s="339"/>
      <c r="F39" s="339"/>
      <c r="G39" s="339"/>
      <c r="H39" s="121"/>
      <c r="I39" s="476"/>
      <c r="J39" s="240"/>
      <c r="K39" s="476"/>
      <c r="L39" s="242"/>
      <c r="M39" s="103"/>
      <c r="N39" s="31"/>
      <c r="O39" s="31"/>
      <c r="P39" s="49"/>
      <c r="Q39" s="103"/>
      <c r="R39" s="105"/>
      <c r="S39" s="105"/>
      <c r="T39" s="111"/>
      <c r="U39" s="228"/>
      <c r="V39" s="207"/>
      <c r="W39" s="207"/>
      <c r="X39" s="111"/>
      <c r="Y39" s="228"/>
      <c r="Z39" s="207"/>
      <c r="AA39" s="207"/>
      <c r="AB39" s="111"/>
      <c r="AC39" s="228"/>
      <c r="AD39" s="207"/>
      <c r="AE39" s="207"/>
      <c r="AF39" s="111"/>
      <c r="AG39" s="111"/>
      <c r="AH39" s="111"/>
      <c r="AI39" s="111"/>
      <c r="AJ39" s="111"/>
      <c r="AK39" s="111"/>
      <c r="AL39" s="111"/>
      <c r="AM39" s="111"/>
      <c r="AN39" s="111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</row>
    <row r="40" spans="1:99" s="15" customFormat="1" ht="12">
      <c r="A40" s="85">
        <v>2</v>
      </c>
      <c r="B40" s="33" t="s">
        <v>182</v>
      </c>
      <c r="C40" s="351"/>
      <c r="D40" s="351"/>
      <c r="E40" s="351"/>
      <c r="F40" s="351"/>
      <c r="G40" s="234"/>
      <c r="H40" s="121"/>
      <c r="I40" s="476"/>
      <c r="J40" s="240"/>
      <c r="K40" s="476"/>
      <c r="L40" s="242"/>
      <c r="M40" s="103"/>
      <c r="N40" s="31"/>
      <c r="O40" s="31"/>
      <c r="P40" s="49"/>
      <c r="Q40" s="103"/>
      <c r="R40" s="104"/>
      <c r="S40" s="105"/>
      <c r="T40" s="111"/>
      <c r="U40" s="142"/>
      <c r="V40" s="206"/>
      <c r="W40" s="207"/>
      <c r="X40" s="111"/>
      <c r="Y40" s="142"/>
      <c r="Z40" s="206"/>
      <c r="AA40" s="207"/>
      <c r="AB40" s="111"/>
      <c r="AC40" s="142"/>
      <c r="AD40" s="206"/>
      <c r="AE40" s="207"/>
      <c r="AF40" s="111"/>
      <c r="AG40" s="111"/>
      <c r="AH40" s="111"/>
      <c r="AI40" s="111"/>
      <c r="AJ40" s="111"/>
      <c r="AK40" s="111"/>
      <c r="AL40" s="111"/>
      <c r="AM40" s="111"/>
      <c r="AN40" s="111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</row>
    <row r="41" spans="1:99" s="15" customFormat="1" ht="12">
      <c r="A41" s="74" t="s">
        <v>21</v>
      </c>
      <c r="B41" s="15" t="s">
        <v>183</v>
      </c>
      <c r="C41" s="230"/>
      <c r="D41" s="329"/>
      <c r="E41" s="329"/>
      <c r="F41" s="329"/>
      <c r="G41" s="230"/>
      <c r="H41" s="240" t="s">
        <v>429</v>
      </c>
      <c r="I41" s="476"/>
      <c r="J41" s="474"/>
      <c r="K41" s="476"/>
      <c r="L41" s="242"/>
      <c r="M41" s="103"/>
      <c r="N41" s="31"/>
      <c r="O41" s="31"/>
      <c r="P41" s="49"/>
      <c r="Q41" s="103"/>
      <c r="R41" s="104"/>
      <c r="S41" s="105"/>
      <c r="T41" s="111"/>
      <c r="U41" s="142"/>
      <c r="V41" s="206"/>
      <c r="W41" s="207"/>
      <c r="X41" s="111"/>
      <c r="Y41" s="142"/>
      <c r="Z41" s="206"/>
      <c r="AA41" s="207"/>
      <c r="AB41" s="111"/>
      <c r="AC41" s="142"/>
      <c r="AD41" s="206"/>
      <c r="AE41" s="207"/>
      <c r="AF41" s="111"/>
      <c r="AG41" s="111"/>
      <c r="AH41" s="111"/>
      <c r="AI41" s="111"/>
      <c r="AJ41" s="111"/>
      <c r="AK41" s="111"/>
      <c r="AL41" s="111"/>
      <c r="AM41" s="111"/>
      <c r="AN41" s="111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</row>
    <row r="42" spans="1:99" s="15" customFormat="1" ht="12">
      <c r="A42" s="74"/>
      <c r="C42" s="15" t="s">
        <v>10</v>
      </c>
      <c r="G42" s="230"/>
      <c r="H42" s="240"/>
      <c r="I42" s="476"/>
      <c r="J42" s="477"/>
      <c r="K42" s="476"/>
      <c r="L42" s="242"/>
      <c r="M42" s="103"/>
      <c r="N42" s="31"/>
      <c r="O42" s="31"/>
      <c r="P42" s="49"/>
      <c r="Q42" s="103"/>
      <c r="R42" s="104"/>
      <c r="S42" s="105"/>
      <c r="T42" s="111"/>
      <c r="U42" s="142"/>
      <c r="V42" s="206"/>
      <c r="W42" s="207"/>
      <c r="X42" s="111"/>
      <c r="Y42" s="142"/>
      <c r="Z42" s="206"/>
      <c r="AA42" s="207"/>
      <c r="AB42" s="111"/>
      <c r="AC42" s="142"/>
      <c r="AD42" s="206"/>
      <c r="AE42" s="207"/>
      <c r="AF42" s="111"/>
      <c r="AG42" s="111"/>
      <c r="AH42" s="111"/>
      <c r="AI42" s="111"/>
      <c r="AJ42" s="111"/>
      <c r="AK42" s="111"/>
      <c r="AL42" s="111"/>
      <c r="AM42" s="111"/>
      <c r="AN42" s="111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</row>
    <row r="43" spans="1:99" s="15" customFormat="1" ht="60">
      <c r="A43" s="74" t="s">
        <v>49</v>
      </c>
      <c r="D43" s="15" t="s">
        <v>11</v>
      </c>
      <c r="G43" s="230"/>
      <c r="H43" s="240" t="s">
        <v>427</v>
      </c>
      <c r="I43" s="476"/>
      <c r="J43" s="127" t="s">
        <v>502</v>
      </c>
      <c r="K43" s="476"/>
      <c r="L43" s="242"/>
      <c r="M43" s="103"/>
      <c r="N43" s="31"/>
      <c r="O43" s="31"/>
      <c r="P43" s="49"/>
      <c r="Q43" s="103"/>
      <c r="R43" s="104"/>
      <c r="S43" s="105"/>
      <c r="T43" s="111"/>
      <c r="U43" s="142"/>
      <c r="V43" s="206"/>
      <c r="W43" s="207"/>
      <c r="X43" s="111"/>
      <c r="Y43" s="142"/>
      <c r="Z43" s="206"/>
      <c r="AA43" s="207"/>
      <c r="AB43" s="111"/>
      <c r="AC43" s="142"/>
      <c r="AD43" s="206"/>
      <c r="AE43" s="207"/>
      <c r="AF43" s="111"/>
      <c r="AG43" s="111"/>
      <c r="AH43" s="111"/>
      <c r="AI43" s="111"/>
      <c r="AJ43" s="111"/>
      <c r="AK43" s="111"/>
      <c r="AL43" s="111"/>
      <c r="AM43" s="111"/>
      <c r="AN43" s="111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</row>
    <row r="44" spans="1:99" s="15" customFormat="1" ht="12">
      <c r="A44" s="74" t="s">
        <v>50</v>
      </c>
      <c r="D44" s="15" t="s">
        <v>12</v>
      </c>
      <c r="G44" s="230"/>
      <c r="H44" s="240" t="s">
        <v>426</v>
      </c>
      <c r="I44" s="476"/>
      <c r="J44" s="477"/>
      <c r="K44" s="476"/>
      <c r="L44" s="242"/>
      <c r="M44" s="103"/>
      <c r="N44" s="31"/>
      <c r="O44" s="31"/>
      <c r="P44" s="49"/>
      <c r="Q44" s="103"/>
      <c r="R44" s="105"/>
      <c r="S44" s="105"/>
      <c r="T44" s="111"/>
      <c r="U44" s="142"/>
      <c r="V44" s="207"/>
      <c r="W44" s="207"/>
      <c r="X44" s="111"/>
      <c r="Y44" s="142"/>
      <c r="Z44" s="207"/>
      <c r="AA44" s="207"/>
      <c r="AB44" s="111"/>
      <c r="AC44" s="142"/>
      <c r="AD44" s="207"/>
      <c r="AE44" s="207"/>
      <c r="AF44" s="111"/>
      <c r="AG44" s="111"/>
      <c r="AH44" s="111"/>
      <c r="AI44" s="111"/>
      <c r="AJ44" s="111"/>
      <c r="AK44" s="111"/>
      <c r="AL44" s="111"/>
      <c r="AM44" s="111"/>
      <c r="AN44" s="111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</row>
    <row r="45" spans="1:99" s="15" customFormat="1" ht="12">
      <c r="A45" s="74" t="s">
        <v>157</v>
      </c>
      <c r="D45" s="15" t="s">
        <v>13</v>
      </c>
      <c r="G45" s="230"/>
      <c r="H45" s="240"/>
      <c r="I45" s="476"/>
      <c r="J45" s="477"/>
      <c r="K45" s="476"/>
      <c r="L45" s="242"/>
      <c r="M45" s="103"/>
      <c r="N45" s="31"/>
      <c r="O45" s="31"/>
      <c r="P45" s="49"/>
      <c r="Q45" s="103"/>
      <c r="R45" s="104"/>
      <c r="S45" s="105"/>
      <c r="T45" s="111"/>
      <c r="U45" s="142"/>
      <c r="V45" s="206"/>
      <c r="W45" s="207"/>
      <c r="X45" s="111"/>
      <c r="Y45" s="142"/>
      <c r="Z45" s="206"/>
      <c r="AA45" s="207"/>
      <c r="AB45" s="111"/>
      <c r="AC45" s="142"/>
      <c r="AD45" s="206"/>
      <c r="AE45" s="207"/>
      <c r="AF45" s="111"/>
      <c r="AG45" s="111"/>
      <c r="AH45" s="111"/>
      <c r="AI45" s="111"/>
      <c r="AJ45" s="111"/>
      <c r="AK45" s="111"/>
      <c r="AL45" s="111"/>
      <c r="AM45" s="111"/>
      <c r="AN45" s="111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</row>
    <row r="46" spans="1:99" s="15" customFormat="1" ht="12">
      <c r="A46" s="74" t="s">
        <v>158</v>
      </c>
      <c r="D46" s="15" t="s">
        <v>14</v>
      </c>
      <c r="G46" s="230"/>
      <c r="H46" s="240" t="s">
        <v>428</v>
      </c>
      <c r="I46" s="476"/>
      <c r="J46" s="477"/>
      <c r="K46" s="476"/>
      <c r="L46" s="242"/>
      <c r="M46" s="103"/>
      <c r="N46" s="31"/>
      <c r="O46" s="31"/>
      <c r="P46" s="49"/>
      <c r="Q46" s="103"/>
      <c r="R46" s="104"/>
      <c r="S46" s="105"/>
      <c r="T46" s="111"/>
      <c r="U46" s="142"/>
      <c r="V46" s="206"/>
      <c r="W46" s="207"/>
      <c r="X46" s="111"/>
      <c r="Y46" s="142"/>
      <c r="Z46" s="206"/>
      <c r="AA46" s="207"/>
      <c r="AB46" s="111"/>
      <c r="AC46" s="142"/>
      <c r="AD46" s="206"/>
      <c r="AE46" s="207"/>
      <c r="AF46" s="111"/>
      <c r="AG46" s="111"/>
      <c r="AH46" s="111"/>
      <c r="AI46" s="111"/>
      <c r="AJ46" s="111"/>
      <c r="AK46" s="111"/>
      <c r="AL46" s="111"/>
      <c r="AM46" s="111"/>
      <c r="AN46" s="111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</row>
    <row r="47" spans="1:99" s="15" customFormat="1" ht="12">
      <c r="A47" s="74"/>
      <c r="C47" s="15" t="s">
        <v>15</v>
      </c>
      <c r="G47" s="230"/>
      <c r="H47" s="240"/>
      <c r="I47" s="476"/>
      <c r="J47" s="477"/>
      <c r="K47" s="476"/>
      <c r="L47" s="242"/>
      <c r="M47" s="103"/>
      <c r="N47" s="226"/>
      <c r="O47" s="31"/>
      <c r="P47" s="49"/>
      <c r="Q47" s="103"/>
      <c r="R47" s="31"/>
      <c r="S47" s="31"/>
      <c r="T47" s="111"/>
      <c r="U47" s="142"/>
      <c r="V47" s="43"/>
      <c r="W47" s="43"/>
      <c r="X47" s="111"/>
      <c r="Y47" s="142"/>
      <c r="Z47" s="43"/>
      <c r="AA47" s="43"/>
      <c r="AB47" s="111"/>
      <c r="AC47" s="142"/>
      <c r="AD47" s="43"/>
      <c r="AE47" s="43"/>
      <c r="AF47" s="111"/>
      <c r="AG47" s="111"/>
      <c r="AH47" s="111"/>
      <c r="AI47" s="111"/>
      <c r="AJ47" s="111"/>
      <c r="AK47" s="111"/>
      <c r="AL47" s="111"/>
      <c r="AM47" s="111"/>
      <c r="AN47" s="111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</row>
    <row r="48" spans="1:99" s="15" customFormat="1" ht="12">
      <c r="A48" s="74" t="s">
        <v>159</v>
      </c>
      <c r="D48" s="15" t="s">
        <v>11</v>
      </c>
      <c r="G48" s="230"/>
      <c r="H48" s="240"/>
      <c r="I48" s="476"/>
      <c r="J48" s="477"/>
      <c r="K48" s="476"/>
      <c r="L48" s="242"/>
      <c r="M48" s="103"/>
      <c r="N48" s="31"/>
      <c r="O48" s="31"/>
      <c r="P48" s="49"/>
      <c r="Q48" s="103"/>
      <c r="R48" s="104"/>
      <c r="S48" s="105"/>
      <c r="T48" s="111"/>
      <c r="U48" s="142"/>
      <c r="V48" s="206"/>
      <c r="W48" s="207"/>
      <c r="X48" s="111"/>
      <c r="Y48" s="142"/>
      <c r="Z48" s="206"/>
      <c r="AA48" s="207"/>
      <c r="AB48" s="111"/>
      <c r="AC48" s="142"/>
      <c r="AD48" s="206"/>
      <c r="AE48" s="207"/>
      <c r="AF48" s="111"/>
      <c r="AG48" s="111"/>
      <c r="AH48" s="111"/>
      <c r="AI48" s="111"/>
      <c r="AJ48" s="111"/>
      <c r="AK48" s="111"/>
      <c r="AL48" s="111"/>
      <c r="AM48" s="111"/>
      <c r="AN48" s="111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</row>
    <row r="49" spans="1:99" s="15" customFormat="1" ht="12">
      <c r="A49" s="74" t="s">
        <v>160</v>
      </c>
      <c r="D49" s="15" t="s">
        <v>12</v>
      </c>
      <c r="G49" s="230"/>
      <c r="H49" s="240"/>
      <c r="I49" s="476"/>
      <c r="J49" s="477"/>
      <c r="K49" s="476"/>
      <c r="L49" s="242"/>
      <c r="M49" s="103"/>
      <c r="N49" s="31"/>
      <c r="O49" s="31"/>
      <c r="P49" s="49"/>
      <c r="Q49" s="103"/>
      <c r="R49" s="105"/>
      <c r="S49" s="105"/>
      <c r="T49" s="111"/>
      <c r="U49" s="142"/>
      <c r="V49" s="207"/>
      <c r="W49" s="207"/>
      <c r="X49" s="111"/>
      <c r="Y49" s="142"/>
      <c r="Z49" s="207"/>
      <c r="AA49" s="207"/>
      <c r="AB49" s="111"/>
      <c r="AC49" s="142"/>
      <c r="AD49" s="207"/>
      <c r="AE49" s="207"/>
      <c r="AF49" s="111"/>
      <c r="AG49" s="111"/>
      <c r="AH49" s="111"/>
      <c r="AI49" s="111"/>
      <c r="AJ49" s="111"/>
      <c r="AK49" s="111"/>
      <c r="AL49" s="111"/>
      <c r="AM49" s="111"/>
      <c r="AN49" s="111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</row>
    <row r="50" spans="1:99" s="15" customFormat="1" ht="12">
      <c r="A50" s="74" t="s">
        <v>161</v>
      </c>
      <c r="D50" s="15" t="s">
        <v>13</v>
      </c>
      <c r="G50" s="230"/>
      <c r="H50" s="121"/>
      <c r="I50" s="476"/>
      <c r="J50" s="474"/>
      <c r="K50" s="476"/>
      <c r="L50" s="242"/>
      <c r="M50" s="103"/>
      <c r="N50" s="31"/>
      <c r="O50" s="31"/>
      <c r="P50" s="49"/>
      <c r="Q50" s="103"/>
      <c r="R50" s="31"/>
      <c r="S50" s="105"/>
      <c r="T50" s="111"/>
      <c r="U50" s="142"/>
      <c r="V50" s="43"/>
      <c r="W50" s="207"/>
      <c r="X50" s="111"/>
      <c r="Y50" s="142"/>
      <c r="Z50" s="43"/>
      <c r="AA50" s="207"/>
      <c r="AB50" s="111"/>
      <c r="AC50" s="142"/>
      <c r="AD50" s="43"/>
      <c r="AE50" s="207"/>
      <c r="AF50" s="111"/>
      <c r="AG50" s="111"/>
      <c r="AH50" s="111"/>
      <c r="AI50" s="111"/>
      <c r="AJ50" s="111"/>
      <c r="AK50" s="111"/>
      <c r="AL50" s="111"/>
      <c r="AM50" s="111"/>
      <c r="AN50" s="111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</row>
    <row r="51" spans="1:99" s="15" customFormat="1" ht="12">
      <c r="A51" s="74" t="s">
        <v>162</v>
      </c>
      <c r="D51" s="15" t="s">
        <v>14</v>
      </c>
      <c r="G51" s="230"/>
      <c r="H51" s="240"/>
      <c r="I51" s="476"/>
      <c r="J51" s="476"/>
      <c r="K51" s="476"/>
      <c r="L51" s="242"/>
      <c r="M51" s="103"/>
      <c r="N51" s="31"/>
      <c r="O51" s="31"/>
      <c r="P51" s="49"/>
      <c r="Q51" s="103"/>
      <c r="R51" s="105"/>
      <c r="S51" s="105"/>
      <c r="T51" s="111"/>
      <c r="U51" s="142"/>
      <c r="V51" s="207"/>
      <c r="W51" s="207"/>
      <c r="X51" s="111"/>
      <c r="Y51" s="142"/>
      <c r="Z51" s="207"/>
      <c r="AA51" s="207"/>
      <c r="AB51" s="111"/>
      <c r="AC51" s="142"/>
      <c r="AD51" s="207"/>
      <c r="AE51" s="207"/>
      <c r="AF51" s="111"/>
      <c r="AG51" s="111"/>
      <c r="AH51" s="111"/>
      <c r="AI51" s="111"/>
      <c r="AJ51" s="111"/>
      <c r="AK51" s="111"/>
      <c r="AL51" s="111"/>
      <c r="AM51" s="111"/>
      <c r="AN51" s="111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</row>
    <row r="52" spans="1:99" s="15" customFormat="1" ht="12">
      <c r="A52" s="74"/>
      <c r="C52" s="15" t="s">
        <v>16</v>
      </c>
      <c r="G52" s="230"/>
      <c r="H52" s="240"/>
      <c r="I52" s="476"/>
      <c r="J52" s="476"/>
      <c r="K52" s="476"/>
      <c r="L52" s="242"/>
      <c r="M52" s="103"/>
      <c r="N52" s="31"/>
      <c r="O52" s="31"/>
      <c r="P52" s="49"/>
      <c r="Q52" s="103"/>
      <c r="R52" s="105"/>
      <c r="S52" s="105"/>
      <c r="T52" s="111"/>
      <c r="U52" s="142"/>
      <c r="V52" s="207"/>
      <c r="W52" s="207"/>
      <c r="X52" s="111"/>
      <c r="Y52" s="142"/>
      <c r="Z52" s="207"/>
      <c r="AA52" s="207"/>
      <c r="AB52" s="111"/>
      <c r="AC52" s="142"/>
      <c r="AD52" s="207"/>
      <c r="AE52" s="207"/>
      <c r="AF52" s="111"/>
      <c r="AG52" s="111"/>
      <c r="AH52" s="111"/>
      <c r="AI52" s="111"/>
      <c r="AJ52" s="111"/>
      <c r="AK52" s="111"/>
      <c r="AL52" s="111"/>
      <c r="AM52" s="111"/>
      <c r="AN52" s="111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</row>
    <row r="53" spans="1:99" s="15" customFormat="1" ht="12">
      <c r="A53" s="74"/>
      <c r="C53" s="15" t="s">
        <v>10</v>
      </c>
      <c r="G53" s="230"/>
      <c r="H53" s="240"/>
      <c r="I53" s="476"/>
      <c r="J53" s="476"/>
      <c r="K53" s="476"/>
      <c r="L53" s="242"/>
      <c r="M53" s="103"/>
      <c r="N53" s="226"/>
      <c r="O53" s="31"/>
      <c r="P53" s="49"/>
      <c r="Q53" s="103"/>
      <c r="R53" s="105"/>
      <c r="S53" s="105"/>
      <c r="T53" s="111"/>
      <c r="U53" s="142"/>
      <c r="V53" s="207"/>
      <c r="W53" s="207"/>
      <c r="X53" s="111"/>
      <c r="Y53" s="142"/>
      <c r="Z53" s="207"/>
      <c r="AA53" s="207"/>
      <c r="AB53" s="111"/>
      <c r="AC53" s="142"/>
      <c r="AD53" s="207"/>
      <c r="AE53" s="207"/>
      <c r="AF53" s="111"/>
      <c r="AG53" s="111"/>
      <c r="AH53" s="111"/>
      <c r="AI53" s="111"/>
      <c r="AJ53" s="111"/>
      <c r="AK53" s="111"/>
      <c r="AL53" s="111"/>
      <c r="AM53" s="111"/>
      <c r="AN53" s="111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</row>
    <row r="54" spans="1:99" s="15" customFormat="1" ht="12">
      <c r="A54" s="74" t="s">
        <v>163</v>
      </c>
      <c r="D54" s="15" t="s">
        <v>17</v>
      </c>
      <c r="G54" s="230"/>
      <c r="H54" s="240"/>
      <c r="I54" s="476"/>
      <c r="J54" s="476"/>
      <c r="K54" s="476"/>
      <c r="L54" s="242"/>
      <c r="M54" s="103"/>
      <c r="N54" s="226"/>
      <c r="O54" s="31"/>
      <c r="P54" s="49"/>
      <c r="Q54" s="103"/>
      <c r="R54" s="31"/>
      <c r="S54" s="31"/>
      <c r="T54" s="111"/>
      <c r="U54" s="142"/>
      <c r="V54" s="43"/>
      <c r="W54" s="43"/>
      <c r="X54" s="111"/>
      <c r="Y54" s="142"/>
      <c r="Z54" s="43"/>
      <c r="AA54" s="43"/>
      <c r="AB54" s="111"/>
      <c r="AC54" s="142"/>
      <c r="AD54" s="43"/>
      <c r="AE54" s="43"/>
      <c r="AF54" s="111"/>
      <c r="AG54" s="111"/>
      <c r="AH54" s="111"/>
      <c r="AI54" s="111"/>
      <c r="AJ54" s="111"/>
      <c r="AK54" s="111"/>
      <c r="AL54" s="111"/>
      <c r="AM54" s="111"/>
      <c r="AN54" s="111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</row>
    <row r="55" spans="1:99" s="15" customFormat="1" ht="36">
      <c r="A55" s="74" t="s">
        <v>164</v>
      </c>
      <c r="D55" s="15" t="s">
        <v>18</v>
      </c>
      <c r="G55" s="230"/>
      <c r="H55" s="240" t="s">
        <v>430</v>
      </c>
      <c r="I55" s="476"/>
      <c r="J55" s="473" t="s">
        <v>503</v>
      </c>
      <c r="K55" s="476"/>
      <c r="L55" s="242"/>
      <c r="M55" s="103"/>
      <c r="N55" s="226"/>
      <c r="O55" s="31"/>
      <c r="P55" s="49"/>
      <c r="Q55" s="103"/>
      <c r="R55" s="31"/>
      <c r="S55" s="31"/>
      <c r="T55" s="111"/>
      <c r="U55" s="142"/>
      <c r="V55" s="43"/>
      <c r="W55" s="43"/>
      <c r="X55" s="111"/>
      <c r="Y55" s="142"/>
      <c r="Z55" s="43"/>
      <c r="AA55" s="43"/>
      <c r="AB55" s="111"/>
      <c r="AC55" s="142"/>
      <c r="AD55" s="43"/>
      <c r="AE55" s="43"/>
      <c r="AF55" s="111"/>
      <c r="AG55" s="111"/>
      <c r="AH55" s="111"/>
      <c r="AI55" s="111"/>
      <c r="AJ55" s="111"/>
      <c r="AK55" s="111"/>
      <c r="AL55" s="111"/>
      <c r="AM55" s="111"/>
      <c r="AN55" s="111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</row>
    <row r="56" spans="1:99" s="15" customFormat="1" ht="12">
      <c r="A56" s="74"/>
      <c r="C56" s="15" t="s">
        <v>15</v>
      </c>
      <c r="G56" s="230"/>
      <c r="H56" s="240"/>
      <c r="I56" s="476"/>
      <c r="J56" s="476"/>
      <c r="K56" s="476"/>
      <c r="L56" s="242"/>
      <c r="M56" s="103"/>
      <c r="N56" s="226"/>
      <c r="O56" s="31"/>
      <c r="P56" s="49"/>
      <c r="Q56" s="103"/>
      <c r="R56" s="31"/>
      <c r="S56" s="31"/>
      <c r="T56" s="111"/>
      <c r="U56" s="142"/>
      <c r="V56" s="43"/>
      <c r="W56" s="43"/>
      <c r="X56" s="111"/>
      <c r="Y56" s="142"/>
      <c r="Z56" s="43"/>
      <c r="AA56" s="43"/>
      <c r="AB56" s="111"/>
      <c r="AC56" s="142"/>
      <c r="AD56" s="43"/>
      <c r="AE56" s="43"/>
      <c r="AF56" s="111"/>
      <c r="AG56" s="111"/>
      <c r="AH56" s="111"/>
      <c r="AI56" s="111"/>
      <c r="AJ56" s="111"/>
      <c r="AK56" s="111"/>
      <c r="AL56" s="111"/>
      <c r="AM56" s="111"/>
      <c r="AN56" s="111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</row>
    <row r="57" spans="1:99" s="15" customFormat="1" ht="12">
      <c r="A57" s="74" t="s">
        <v>165</v>
      </c>
      <c r="D57" s="15" t="s">
        <v>17</v>
      </c>
      <c r="G57" s="230"/>
      <c r="H57" s="240"/>
      <c r="I57" s="476"/>
      <c r="J57" s="476"/>
      <c r="K57" s="476"/>
      <c r="L57" s="242"/>
      <c r="M57" s="103"/>
      <c r="N57" s="31"/>
      <c r="O57" s="31"/>
      <c r="P57" s="49"/>
      <c r="Q57" s="49"/>
      <c r="R57" s="31"/>
      <c r="S57" s="105"/>
      <c r="T57" s="111"/>
      <c r="U57" s="111"/>
      <c r="V57" s="43"/>
      <c r="W57" s="207"/>
      <c r="X57" s="111"/>
      <c r="Y57" s="111"/>
      <c r="Z57" s="43"/>
      <c r="AA57" s="207"/>
      <c r="AB57" s="111"/>
      <c r="AC57" s="111"/>
      <c r="AD57" s="43"/>
      <c r="AE57" s="207"/>
      <c r="AF57" s="111"/>
      <c r="AG57" s="111"/>
      <c r="AH57" s="111"/>
      <c r="AI57" s="111"/>
      <c r="AJ57" s="111"/>
      <c r="AK57" s="111"/>
      <c r="AL57" s="111"/>
      <c r="AM57" s="111"/>
      <c r="AN57" s="111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</row>
    <row r="58" spans="1:99" s="15" customFormat="1" ht="12">
      <c r="A58" s="74" t="s">
        <v>166</v>
      </c>
      <c r="D58" s="15" t="s">
        <v>19</v>
      </c>
      <c r="G58" s="230"/>
      <c r="H58" s="241"/>
      <c r="I58" s="242"/>
      <c r="J58" s="242"/>
      <c r="K58" s="242"/>
      <c r="L58" s="242"/>
      <c r="M58" s="103"/>
      <c r="N58" s="31"/>
      <c r="O58" s="31"/>
      <c r="P58" s="49"/>
      <c r="Q58" s="49"/>
      <c r="R58" s="31"/>
      <c r="S58" s="105"/>
      <c r="T58" s="111"/>
      <c r="U58" s="111"/>
      <c r="V58" s="43"/>
      <c r="W58" s="207"/>
      <c r="X58" s="111"/>
      <c r="Y58" s="111"/>
      <c r="Z58" s="43"/>
      <c r="AA58" s="207"/>
      <c r="AB58" s="111"/>
      <c r="AC58" s="111"/>
      <c r="AD58" s="43"/>
      <c r="AE58" s="207"/>
      <c r="AF58" s="111"/>
      <c r="AG58" s="111"/>
      <c r="AH58" s="111"/>
      <c r="AI58" s="111"/>
      <c r="AJ58" s="111"/>
      <c r="AK58" s="111"/>
      <c r="AL58" s="111"/>
      <c r="AM58" s="111"/>
      <c r="AN58" s="111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</row>
    <row r="59" spans="1:99" s="15" customFormat="1" ht="12">
      <c r="A59" s="74"/>
      <c r="C59" s="15" t="s">
        <v>20</v>
      </c>
      <c r="G59" s="230"/>
      <c r="H59" s="121"/>
      <c r="I59" s="476"/>
      <c r="J59" s="476"/>
      <c r="K59" s="476"/>
      <c r="L59" s="242"/>
      <c r="M59" s="103"/>
      <c r="N59" s="31"/>
      <c r="O59" s="31"/>
      <c r="P59" s="49"/>
      <c r="Q59" s="49"/>
      <c r="R59" s="226"/>
      <c r="S59" s="105"/>
      <c r="T59" s="111"/>
      <c r="U59" s="111"/>
      <c r="V59" s="227"/>
      <c r="W59" s="207"/>
      <c r="X59" s="111"/>
      <c r="Y59" s="111"/>
      <c r="Z59" s="227"/>
      <c r="AA59" s="207"/>
      <c r="AB59" s="111"/>
      <c r="AC59" s="111"/>
      <c r="AD59" s="227"/>
      <c r="AE59" s="207"/>
      <c r="AF59" s="111"/>
      <c r="AG59" s="111"/>
      <c r="AH59" s="111"/>
      <c r="AI59" s="111"/>
      <c r="AJ59" s="111"/>
      <c r="AK59" s="111"/>
      <c r="AL59" s="111"/>
      <c r="AM59" s="111"/>
      <c r="AN59" s="111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</row>
    <row r="60" spans="1:99" s="15" customFormat="1" ht="12">
      <c r="A60" s="74"/>
      <c r="B60" s="15" t="s">
        <v>184</v>
      </c>
      <c r="G60" s="230"/>
      <c r="H60" s="120"/>
      <c r="I60" s="476"/>
      <c r="J60" s="476"/>
      <c r="K60" s="476"/>
      <c r="L60" s="242"/>
      <c r="M60" s="103"/>
      <c r="N60" s="31"/>
      <c r="O60" s="31"/>
      <c r="P60" s="49"/>
      <c r="Q60" s="49"/>
      <c r="R60" s="104"/>
      <c r="S60" s="105"/>
      <c r="T60" s="111"/>
      <c r="U60" s="111"/>
      <c r="V60" s="206"/>
      <c r="W60" s="207"/>
      <c r="X60" s="111"/>
      <c r="Y60" s="111"/>
      <c r="Z60" s="206"/>
      <c r="AA60" s="207"/>
      <c r="AB60" s="111"/>
      <c r="AC60" s="111"/>
      <c r="AD60" s="206"/>
      <c r="AE60" s="207"/>
      <c r="AF60" s="111"/>
      <c r="AG60" s="111"/>
      <c r="AH60" s="111"/>
      <c r="AI60" s="111"/>
      <c r="AJ60" s="111"/>
      <c r="AK60" s="111"/>
      <c r="AL60" s="111"/>
      <c r="AM60" s="111"/>
      <c r="AN60" s="111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</row>
    <row r="61" spans="1:99" s="15" customFormat="1" ht="12">
      <c r="A61" s="74"/>
      <c r="C61" s="7"/>
      <c r="D61" s="7"/>
      <c r="E61" s="7"/>
      <c r="F61" s="7"/>
      <c r="G61" s="230"/>
      <c r="H61" s="121"/>
      <c r="I61" s="476"/>
      <c r="J61" s="476"/>
      <c r="K61" s="476"/>
      <c r="L61" s="242"/>
      <c r="M61" s="103"/>
      <c r="N61" s="226"/>
      <c r="O61" s="31"/>
      <c r="P61" s="49"/>
      <c r="Q61" s="103"/>
      <c r="R61" s="31"/>
      <c r="S61" s="105"/>
      <c r="T61" s="111"/>
      <c r="U61" s="142"/>
      <c r="V61" s="43"/>
      <c r="W61" s="207"/>
      <c r="X61" s="111"/>
      <c r="Y61" s="142"/>
      <c r="Z61" s="43"/>
      <c r="AA61" s="207"/>
      <c r="AB61" s="111"/>
      <c r="AC61" s="142"/>
      <c r="AD61" s="43"/>
      <c r="AE61" s="207"/>
      <c r="AF61" s="111"/>
      <c r="AG61" s="111"/>
      <c r="AH61" s="111"/>
      <c r="AI61" s="111"/>
      <c r="AJ61" s="111"/>
      <c r="AK61" s="111"/>
      <c r="AL61" s="111"/>
      <c r="AM61" s="111"/>
      <c r="AN61" s="111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</row>
    <row r="62" spans="1:99" s="15" customFormat="1" ht="12">
      <c r="A62" s="74" t="s">
        <v>22</v>
      </c>
      <c r="B62" s="15" t="s">
        <v>185</v>
      </c>
      <c r="D62" s="7"/>
      <c r="E62" s="7"/>
      <c r="F62" s="7"/>
      <c r="G62" s="230"/>
      <c r="H62" s="240" t="s">
        <v>429</v>
      </c>
      <c r="I62" s="476"/>
      <c r="J62" s="476"/>
      <c r="K62" s="476"/>
      <c r="L62" s="242"/>
      <c r="M62" s="103"/>
      <c r="N62" s="31"/>
      <c r="O62" s="31"/>
      <c r="P62" s="49"/>
      <c r="Q62" s="103"/>
      <c r="R62" s="105"/>
      <c r="S62" s="105"/>
      <c r="T62" s="111"/>
      <c r="U62" s="228"/>
      <c r="V62" s="207"/>
      <c r="W62" s="207"/>
      <c r="X62" s="111"/>
      <c r="Y62" s="228"/>
      <c r="Z62" s="207"/>
      <c r="AA62" s="207"/>
      <c r="AB62" s="111"/>
      <c r="AC62" s="228"/>
      <c r="AD62" s="207"/>
      <c r="AE62" s="207"/>
      <c r="AF62" s="111"/>
      <c r="AG62" s="111"/>
      <c r="AH62" s="111"/>
      <c r="AI62" s="111"/>
      <c r="AJ62" s="111"/>
      <c r="AK62" s="111"/>
      <c r="AL62" s="111"/>
      <c r="AM62" s="111"/>
      <c r="AN62" s="111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</row>
    <row r="63" spans="1:99" s="15" customFormat="1" ht="12">
      <c r="A63" s="74"/>
      <c r="C63" s="15" t="s">
        <v>10</v>
      </c>
      <c r="G63" s="230"/>
      <c r="H63" s="240"/>
      <c r="I63" s="476"/>
      <c r="J63" s="476"/>
      <c r="K63" s="476"/>
      <c r="L63" s="242"/>
      <c r="M63" s="103"/>
      <c r="N63" s="31"/>
      <c r="O63" s="31"/>
      <c r="P63" s="49"/>
      <c r="Q63" s="103"/>
      <c r="R63" s="104"/>
      <c r="S63" s="105"/>
      <c r="T63" s="111"/>
      <c r="U63" s="142"/>
      <c r="V63" s="206"/>
      <c r="W63" s="207"/>
      <c r="X63" s="111"/>
      <c r="Y63" s="142"/>
      <c r="Z63" s="206"/>
      <c r="AA63" s="207"/>
      <c r="AB63" s="111"/>
      <c r="AC63" s="142"/>
      <c r="AD63" s="206"/>
      <c r="AE63" s="207"/>
      <c r="AF63" s="111"/>
      <c r="AG63" s="111"/>
      <c r="AH63" s="111"/>
      <c r="AI63" s="111"/>
      <c r="AJ63" s="111"/>
      <c r="AK63" s="111"/>
      <c r="AL63" s="111"/>
      <c r="AM63" s="111"/>
      <c r="AN63" s="111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</row>
    <row r="64" spans="1:99" s="15" customFormat="1" ht="60">
      <c r="A64" s="74" t="s">
        <v>167</v>
      </c>
      <c r="D64" s="15" t="s">
        <v>11</v>
      </c>
      <c r="G64" s="230"/>
      <c r="H64" s="240" t="s">
        <v>431</v>
      </c>
      <c r="I64" s="476"/>
      <c r="J64" s="127" t="s">
        <v>502</v>
      </c>
      <c r="K64" s="476"/>
      <c r="L64" s="242"/>
      <c r="M64" s="103"/>
      <c r="N64" s="31"/>
      <c r="O64" s="31"/>
      <c r="P64" s="49"/>
      <c r="Q64" s="103"/>
      <c r="R64" s="104"/>
      <c r="S64" s="105"/>
      <c r="T64" s="111"/>
      <c r="U64" s="142"/>
      <c r="V64" s="206"/>
      <c r="W64" s="207"/>
      <c r="X64" s="111"/>
      <c r="Y64" s="142"/>
      <c r="Z64" s="206"/>
      <c r="AA64" s="207"/>
      <c r="AB64" s="111"/>
      <c r="AC64" s="142"/>
      <c r="AD64" s="206"/>
      <c r="AE64" s="207"/>
      <c r="AF64" s="111"/>
      <c r="AG64" s="111"/>
      <c r="AH64" s="111"/>
      <c r="AI64" s="111"/>
      <c r="AJ64" s="111"/>
      <c r="AK64" s="111"/>
      <c r="AL64" s="111"/>
      <c r="AM64" s="111"/>
      <c r="AN64" s="111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</row>
    <row r="65" spans="1:99" s="15" customFormat="1" ht="12">
      <c r="A65" s="74" t="s">
        <v>168</v>
      </c>
      <c r="D65" s="15" t="s">
        <v>12</v>
      </c>
      <c r="G65" s="230"/>
      <c r="H65" s="240" t="s">
        <v>432</v>
      </c>
      <c r="I65" s="476"/>
      <c r="J65" s="477"/>
      <c r="K65" s="476"/>
      <c r="L65" s="242"/>
      <c r="M65" s="103"/>
      <c r="N65" s="31"/>
      <c r="O65" s="31"/>
      <c r="P65" s="49"/>
      <c r="Q65" s="103"/>
      <c r="R65" s="104"/>
      <c r="S65" s="105"/>
      <c r="T65" s="111"/>
      <c r="U65" s="142"/>
      <c r="V65" s="206"/>
      <c r="W65" s="207"/>
      <c r="X65" s="111"/>
      <c r="Y65" s="142"/>
      <c r="Z65" s="206"/>
      <c r="AA65" s="207"/>
      <c r="AB65" s="111"/>
      <c r="AC65" s="142"/>
      <c r="AD65" s="206"/>
      <c r="AE65" s="207"/>
      <c r="AF65" s="111"/>
      <c r="AG65" s="111"/>
      <c r="AH65" s="111"/>
      <c r="AI65" s="111"/>
      <c r="AJ65" s="111"/>
      <c r="AK65" s="111"/>
      <c r="AL65" s="111"/>
      <c r="AM65" s="111"/>
      <c r="AN65" s="111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</row>
    <row r="66" spans="1:99" s="15" customFormat="1" ht="12">
      <c r="A66" s="74" t="s">
        <v>169</v>
      </c>
      <c r="D66" s="15" t="s">
        <v>13</v>
      </c>
      <c r="G66" s="230"/>
      <c r="H66" s="240"/>
      <c r="I66" s="476"/>
      <c r="J66" s="477"/>
      <c r="K66" s="476"/>
      <c r="L66" s="242"/>
      <c r="M66" s="103"/>
      <c r="N66" s="31"/>
      <c r="O66" s="31"/>
      <c r="P66" s="49"/>
      <c r="Q66" s="103"/>
      <c r="R66" s="104"/>
      <c r="S66" s="105"/>
      <c r="T66" s="111"/>
      <c r="U66" s="142"/>
      <c r="V66" s="206"/>
      <c r="W66" s="207"/>
      <c r="X66" s="111"/>
      <c r="Y66" s="142"/>
      <c r="Z66" s="206"/>
      <c r="AA66" s="207"/>
      <c r="AB66" s="111"/>
      <c r="AC66" s="142"/>
      <c r="AD66" s="206"/>
      <c r="AE66" s="207"/>
      <c r="AF66" s="111"/>
      <c r="AG66" s="111"/>
      <c r="AH66" s="111"/>
      <c r="AI66" s="111"/>
      <c r="AJ66" s="111"/>
      <c r="AK66" s="111"/>
      <c r="AL66" s="111"/>
      <c r="AM66" s="111"/>
      <c r="AN66" s="111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</row>
    <row r="67" spans="1:99" s="15" customFormat="1" ht="12">
      <c r="A67" s="74" t="s">
        <v>170</v>
      </c>
      <c r="D67" s="15" t="s">
        <v>14</v>
      </c>
      <c r="G67" s="230"/>
      <c r="H67" s="240" t="s">
        <v>433</v>
      </c>
      <c r="I67" s="476"/>
      <c r="J67" s="477"/>
      <c r="K67" s="476"/>
      <c r="L67" s="242"/>
      <c r="M67" s="103"/>
      <c r="N67" s="31"/>
      <c r="O67" s="31"/>
      <c r="P67" s="49"/>
      <c r="Q67" s="103"/>
      <c r="R67" s="105"/>
      <c r="S67" s="105"/>
      <c r="T67" s="111"/>
      <c r="U67" s="142"/>
      <c r="V67" s="207"/>
      <c r="W67" s="207"/>
      <c r="X67" s="111"/>
      <c r="Y67" s="142"/>
      <c r="Z67" s="207"/>
      <c r="AA67" s="207"/>
      <c r="AB67" s="111"/>
      <c r="AC67" s="142"/>
      <c r="AD67" s="207"/>
      <c r="AE67" s="207"/>
      <c r="AF67" s="111"/>
      <c r="AG67" s="111"/>
      <c r="AH67" s="111"/>
      <c r="AI67" s="111"/>
      <c r="AJ67" s="111"/>
      <c r="AK67" s="111"/>
      <c r="AL67" s="111"/>
      <c r="AM67" s="111"/>
      <c r="AN67" s="111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</row>
    <row r="68" spans="1:99" s="15" customFormat="1" ht="12">
      <c r="A68" s="74"/>
      <c r="C68" s="15" t="s">
        <v>15</v>
      </c>
      <c r="G68" s="230"/>
      <c r="H68" s="240"/>
      <c r="I68" s="476"/>
      <c r="J68" s="477"/>
      <c r="K68" s="476"/>
      <c r="L68" s="242"/>
      <c r="M68" s="103"/>
      <c r="N68" s="31"/>
      <c r="O68" s="31"/>
      <c r="P68" s="49"/>
      <c r="Q68" s="103"/>
      <c r="R68" s="104"/>
      <c r="S68" s="105"/>
      <c r="T68" s="111"/>
      <c r="U68" s="142"/>
      <c r="V68" s="206"/>
      <c r="W68" s="207"/>
      <c r="X68" s="111"/>
      <c r="Y68" s="142"/>
      <c r="Z68" s="206"/>
      <c r="AA68" s="207"/>
      <c r="AB68" s="111"/>
      <c r="AC68" s="142"/>
      <c r="AD68" s="206"/>
      <c r="AE68" s="207"/>
      <c r="AF68" s="111"/>
      <c r="AG68" s="111"/>
      <c r="AH68" s="111"/>
      <c r="AI68" s="111"/>
      <c r="AJ68" s="111"/>
      <c r="AK68" s="111"/>
      <c r="AL68" s="111"/>
      <c r="AM68" s="111"/>
      <c r="AN68" s="111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</row>
    <row r="69" spans="1:99" s="15" customFormat="1" ht="12">
      <c r="A69" s="74" t="s">
        <v>171</v>
      </c>
      <c r="D69" s="15" t="s">
        <v>11</v>
      </c>
      <c r="G69" s="230"/>
      <c r="H69" s="240"/>
      <c r="I69" s="476"/>
      <c r="J69" s="477"/>
      <c r="K69" s="476"/>
      <c r="L69" s="242"/>
      <c r="M69" s="103"/>
      <c r="N69" s="31"/>
      <c r="O69" s="31"/>
      <c r="P69" s="49"/>
      <c r="Q69" s="103"/>
      <c r="R69" s="104"/>
      <c r="S69" s="105"/>
      <c r="T69" s="111"/>
      <c r="U69" s="142"/>
      <c r="V69" s="206"/>
      <c r="W69" s="207"/>
      <c r="X69" s="111"/>
      <c r="Y69" s="142"/>
      <c r="Z69" s="206"/>
      <c r="AA69" s="207"/>
      <c r="AB69" s="111"/>
      <c r="AC69" s="142"/>
      <c r="AD69" s="206"/>
      <c r="AE69" s="207"/>
      <c r="AF69" s="111"/>
      <c r="AG69" s="111"/>
      <c r="AH69" s="111"/>
      <c r="AI69" s="111"/>
      <c r="AJ69" s="111"/>
      <c r="AK69" s="111"/>
      <c r="AL69" s="111"/>
      <c r="AM69" s="111"/>
      <c r="AN69" s="111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</row>
    <row r="70" spans="1:99" s="15" customFormat="1" ht="12">
      <c r="A70" s="74" t="s">
        <v>172</v>
      </c>
      <c r="D70" s="15" t="s">
        <v>12</v>
      </c>
      <c r="G70" s="230"/>
      <c r="H70" s="240"/>
      <c r="I70" s="476"/>
      <c r="J70" s="477"/>
      <c r="K70" s="476"/>
      <c r="L70" s="242"/>
      <c r="M70" s="103"/>
      <c r="N70" s="226"/>
      <c r="O70" s="31"/>
      <c r="P70" s="49"/>
      <c r="Q70" s="103"/>
      <c r="R70" s="31"/>
      <c r="S70" s="31"/>
      <c r="T70" s="111"/>
      <c r="U70" s="142"/>
      <c r="V70" s="43"/>
      <c r="W70" s="43"/>
      <c r="X70" s="111"/>
      <c r="Y70" s="142"/>
      <c r="Z70" s="43"/>
      <c r="AA70" s="43"/>
      <c r="AB70" s="111"/>
      <c r="AC70" s="142"/>
      <c r="AD70" s="43"/>
      <c r="AE70" s="43"/>
      <c r="AF70" s="111"/>
      <c r="AG70" s="111"/>
      <c r="AH70" s="111"/>
      <c r="AI70" s="111"/>
      <c r="AJ70" s="111"/>
      <c r="AK70" s="111"/>
      <c r="AL70" s="111"/>
      <c r="AM70" s="111"/>
      <c r="AN70" s="111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</row>
    <row r="71" spans="1:99" s="15" customFormat="1" ht="12">
      <c r="A71" s="74" t="s">
        <v>173</v>
      </c>
      <c r="D71" s="15" t="s">
        <v>13</v>
      </c>
      <c r="G71" s="230"/>
      <c r="H71" s="121"/>
      <c r="I71" s="476"/>
      <c r="J71" s="477"/>
      <c r="K71" s="476"/>
      <c r="L71" s="242"/>
      <c r="M71" s="103"/>
      <c r="N71" s="31"/>
      <c r="O71" s="31"/>
      <c r="P71" s="49"/>
      <c r="Q71" s="103"/>
      <c r="R71" s="104"/>
      <c r="S71" s="105"/>
      <c r="T71" s="111"/>
      <c r="U71" s="142"/>
      <c r="V71" s="206"/>
      <c r="W71" s="207"/>
      <c r="X71" s="111"/>
      <c r="Y71" s="142"/>
      <c r="Z71" s="206"/>
      <c r="AA71" s="207"/>
      <c r="AB71" s="111"/>
      <c r="AC71" s="142"/>
      <c r="AD71" s="206"/>
      <c r="AE71" s="207"/>
      <c r="AF71" s="111"/>
      <c r="AG71" s="111"/>
      <c r="AH71" s="111"/>
      <c r="AI71" s="111"/>
      <c r="AJ71" s="111"/>
      <c r="AK71" s="111"/>
      <c r="AL71" s="111"/>
      <c r="AM71" s="111"/>
      <c r="AN71" s="111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</row>
    <row r="72" spans="1:99" s="15" customFormat="1" ht="12">
      <c r="A72" s="74" t="s">
        <v>174</v>
      </c>
      <c r="D72" s="15" t="s">
        <v>14</v>
      </c>
      <c r="G72" s="230"/>
      <c r="H72" s="240"/>
      <c r="I72" s="476"/>
      <c r="J72" s="477"/>
      <c r="K72" s="476"/>
      <c r="L72" s="242"/>
      <c r="M72" s="103"/>
      <c r="N72" s="31"/>
      <c r="O72" s="31"/>
      <c r="P72" s="49"/>
      <c r="Q72" s="103"/>
      <c r="R72" s="105"/>
      <c r="S72" s="105"/>
      <c r="T72" s="111"/>
      <c r="U72" s="142"/>
      <c r="V72" s="207"/>
      <c r="W72" s="207"/>
      <c r="X72" s="111"/>
      <c r="Y72" s="142"/>
      <c r="Z72" s="207"/>
      <c r="AA72" s="207"/>
      <c r="AB72" s="111"/>
      <c r="AC72" s="142"/>
      <c r="AD72" s="207"/>
      <c r="AE72" s="207"/>
      <c r="AF72" s="111"/>
      <c r="AG72" s="111"/>
      <c r="AH72" s="111"/>
      <c r="AI72" s="111"/>
      <c r="AJ72" s="111"/>
      <c r="AK72" s="111"/>
      <c r="AL72" s="111"/>
      <c r="AM72" s="111"/>
      <c r="AN72" s="111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</row>
    <row r="73" spans="1:99" s="15" customFormat="1" ht="12">
      <c r="A73" s="74"/>
      <c r="C73" s="15" t="s">
        <v>16</v>
      </c>
      <c r="G73" s="230"/>
      <c r="H73" s="240"/>
      <c r="I73" s="476"/>
      <c r="J73" s="474"/>
      <c r="K73" s="476"/>
      <c r="L73" s="242"/>
      <c r="M73" s="103"/>
      <c r="N73" s="31"/>
      <c r="O73" s="31"/>
      <c r="P73" s="49"/>
      <c r="Q73" s="103"/>
      <c r="R73" s="31"/>
      <c r="S73" s="105"/>
      <c r="T73" s="111"/>
      <c r="U73" s="142"/>
      <c r="V73" s="43"/>
      <c r="W73" s="207"/>
      <c r="X73" s="111"/>
      <c r="Y73" s="142"/>
      <c r="Z73" s="43"/>
      <c r="AA73" s="207"/>
      <c r="AB73" s="111"/>
      <c r="AC73" s="142"/>
      <c r="AD73" s="43"/>
      <c r="AE73" s="207"/>
      <c r="AF73" s="111"/>
      <c r="AG73" s="111"/>
      <c r="AH73" s="111"/>
      <c r="AI73" s="111"/>
      <c r="AJ73" s="111"/>
      <c r="AK73" s="111"/>
      <c r="AL73" s="111"/>
      <c r="AM73" s="111"/>
      <c r="AN73" s="111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</row>
    <row r="74" spans="1:99" s="15" customFormat="1" ht="12">
      <c r="A74" s="74"/>
      <c r="C74" s="15" t="s">
        <v>10</v>
      </c>
      <c r="G74" s="230"/>
      <c r="H74" s="240"/>
      <c r="I74" s="476"/>
      <c r="J74" s="476"/>
      <c r="K74" s="476"/>
      <c r="L74" s="242"/>
      <c r="M74" s="103"/>
      <c r="N74" s="31"/>
      <c r="O74" s="31"/>
      <c r="P74" s="49"/>
      <c r="Q74" s="103"/>
      <c r="R74" s="105"/>
      <c r="S74" s="105"/>
      <c r="T74" s="111"/>
      <c r="U74" s="142"/>
      <c r="V74" s="207"/>
      <c r="W74" s="207"/>
      <c r="X74" s="111"/>
      <c r="Y74" s="142"/>
      <c r="Z74" s="207"/>
      <c r="AA74" s="207"/>
      <c r="AB74" s="111"/>
      <c r="AC74" s="142"/>
      <c r="AD74" s="207"/>
      <c r="AE74" s="207"/>
      <c r="AF74" s="111"/>
      <c r="AG74" s="111"/>
      <c r="AH74" s="111"/>
      <c r="AI74" s="111"/>
      <c r="AJ74" s="111"/>
      <c r="AK74" s="111"/>
      <c r="AL74" s="111"/>
      <c r="AM74" s="111"/>
      <c r="AN74" s="111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</row>
    <row r="75" spans="1:99" s="15" customFormat="1" ht="12">
      <c r="A75" s="74" t="s">
        <v>175</v>
      </c>
      <c r="D75" s="15" t="s">
        <v>17</v>
      </c>
      <c r="G75" s="230"/>
      <c r="H75" s="240"/>
      <c r="I75" s="476"/>
      <c r="J75" s="476"/>
      <c r="K75" s="476"/>
      <c r="L75" s="242"/>
      <c r="M75" s="103"/>
      <c r="N75" s="31"/>
      <c r="O75" s="31"/>
      <c r="P75" s="49"/>
      <c r="Q75" s="103"/>
      <c r="R75" s="105"/>
      <c r="S75" s="105"/>
      <c r="T75" s="111"/>
      <c r="U75" s="142"/>
      <c r="V75" s="207"/>
      <c r="W75" s="207"/>
      <c r="X75" s="111"/>
      <c r="Y75" s="142"/>
      <c r="Z75" s="207"/>
      <c r="AA75" s="207"/>
      <c r="AB75" s="111"/>
      <c r="AC75" s="142"/>
      <c r="AD75" s="207"/>
      <c r="AE75" s="207"/>
      <c r="AF75" s="111"/>
      <c r="AG75" s="111"/>
      <c r="AH75" s="111"/>
      <c r="AI75" s="111"/>
      <c r="AJ75" s="111"/>
      <c r="AK75" s="111"/>
      <c r="AL75" s="111"/>
      <c r="AM75" s="111"/>
      <c r="AN75" s="111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</row>
    <row r="76" spans="1:99" s="15" customFormat="1" ht="36">
      <c r="A76" s="74" t="s">
        <v>176</v>
      </c>
      <c r="D76" s="15" t="s">
        <v>18</v>
      </c>
      <c r="G76" s="230"/>
      <c r="H76" s="240" t="s">
        <v>434</v>
      </c>
      <c r="I76" s="476"/>
      <c r="J76" s="473" t="s">
        <v>503</v>
      </c>
      <c r="K76" s="476"/>
      <c r="L76" s="242"/>
      <c r="M76" s="103"/>
      <c r="N76" s="226"/>
      <c r="O76" s="31"/>
      <c r="P76" s="49"/>
      <c r="Q76" s="103"/>
      <c r="R76" s="105"/>
      <c r="S76" s="105"/>
      <c r="T76" s="111"/>
      <c r="U76" s="142"/>
      <c r="V76" s="207"/>
      <c r="W76" s="207"/>
      <c r="X76" s="111"/>
      <c r="Y76" s="142"/>
      <c r="Z76" s="207"/>
      <c r="AA76" s="207"/>
      <c r="AB76" s="111"/>
      <c r="AC76" s="142"/>
      <c r="AD76" s="207"/>
      <c r="AE76" s="207"/>
      <c r="AF76" s="111"/>
      <c r="AG76" s="111"/>
      <c r="AH76" s="111"/>
      <c r="AI76" s="111"/>
      <c r="AJ76" s="111"/>
      <c r="AK76" s="111"/>
      <c r="AL76" s="111"/>
      <c r="AM76" s="111"/>
      <c r="AN76" s="111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</row>
    <row r="77" spans="1:99" s="15" customFormat="1" ht="12">
      <c r="A77" s="74"/>
      <c r="C77" s="15" t="s">
        <v>15</v>
      </c>
      <c r="G77" s="230"/>
      <c r="H77" s="240"/>
      <c r="I77" s="476"/>
      <c r="J77" s="476"/>
      <c r="K77" s="476"/>
      <c r="L77" s="242"/>
      <c r="M77" s="103"/>
      <c r="N77" s="226"/>
      <c r="O77" s="31"/>
      <c r="P77" s="49"/>
      <c r="Q77" s="103"/>
      <c r="R77" s="31"/>
      <c r="S77" s="31"/>
      <c r="T77" s="111"/>
      <c r="U77" s="142"/>
      <c r="V77" s="43"/>
      <c r="W77" s="43"/>
      <c r="X77" s="111"/>
      <c r="Y77" s="142"/>
      <c r="Z77" s="43"/>
      <c r="AA77" s="43"/>
      <c r="AB77" s="111"/>
      <c r="AC77" s="142"/>
      <c r="AD77" s="43"/>
      <c r="AE77" s="43"/>
      <c r="AF77" s="111"/>
      <c r="AG77" s="111"/>
      <c r="AH77" s="111"/>
      <c r="AI77" s="111"/>
      <c r="AJ77" s="111"/>
      <c r="AK77" s="111"/>
      <c r="AL77" s="111"/>
      <c r="AM77" s="111"/>
      <c r="AN77" s="111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</row>
    <row r="78" spans="1:99" s="15" customFormat="1" ht="12">
      <c r="A78" s="74" t="s">
        <v>177</v>
      </c>
      <c r="D78" s="15" t="s">
        <v>17</v>
      </c>
      <c r="G78" s="230"/>
      <c r="H78" s="240"/>
      <c r="I78" s="476"/>
      <c r="J78" s="476"/>
      <c r="K78" s="476"/>
      <c r="L78" s="242"/>
      <c r="M78" s="103"/>
      <c r="N78" s="226"/>
      <c r="O78" s="31"/>
      <c r="P78" s="49"/>
      <c r="Q78" s="103"/>
      <c r="R78" s="31"/>
      <c r="S78" s="31"/>
      <c r="T78" s="111"/>
      <c r="U78" s="142"/>
      <c r="V78" s="43"/>
      <c r="W78" s="43"/>
      <c r="X78" s="111"/>
      <c r="Y78" s="142"/>
      <c r="Z78" s="43"/>
      <c r="AA78" s="43"/>
      <c r="AB78" s="111"/>
      <c r="AC78" s="142"/>
      <c r="AD78" s="43"/>
      <c r="AE78" s="43"/>
      <c r="AF78" s="111"/>
      <c r="AG78" s="111"/>
      <c r="AH78" s="111"/>
      <c r="AI78" s="111"/>
      <c r="AJ78" s="111"/>
      <c r="AK78" s="111"/>
      <c r="AL78" s="111"/>
      <c r="AM78" s="111"/>
      <c r="AN78" s="111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</row>
    <row r="79" spans="1:227" ht="12">
      <c r="A79" s="74" t="s">
        <v>178</v>
      </c>
      <c r="B79" s="15"/>
      <c r="C79" s="15"/>
      <c r="D79" s="15" t="s">
        <v>19</v>
      </c>
      <c r="E79" s="15"/>
      <c r="F79" s="15"/>
      <c r="H79" s="241"/>
      <c r="I79" s="475"/>
      <c r="J79" s="474"/>
      <c r="K79" s="474"/>
      <c r="L79" s="474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  <c r="BH79" s="111"/>
      <c r="BI79" s="111"/>
      <c r="BJ79" s="111"/>
      <c r="BK79" s="111"/>
      <c r="BL79" s="111"/>
      <c r="BM79" s="111"/>
      <c r="BN79" s="111"/>
      <c r="BO79" s="111"/>
      <c r="BP79" s="111"/>
      <c r="BQ79" s="111"/>
      <c r="BR79" s="111"/>
      <c r="BS79" s="111"/>
      <c r="BT79" s="111"/>
      <c r="BU79" s="111"/>
      <c r="BV79" s="111"/>
      <c r="BW79" s="111"/>
      <c r="BX79" s="111"/>
      <c r="BY79" s="111"/>
      <c r="BZ79" s="111"/>
      <c r="CA79" s="111"/>
      <c r="CB79" s="111"/>
      <c r="CC79" s="111"/>
      <c r="CD79" s="111"/>
      <c r="CE79" s="111"/>
      <c r="CF79" s="111"/>
      <c r="CG79" s="111"/>
      <c r="CH79" s="111"/>
      <c r="CI79" s="111"/>
      <c r="CJ79" s="111"/>
      <c r="CK79" s="111"/>
      <c r="CL79" s="111"/>
      <c r="CM79" s="111"/>
      <c r="CN79" s="111"/>
      <c r="CO79" s="111"/>
      <c r="CP79" s="111"/>
      <c r="CQ79" s="111"/>
      <c r="CR79" s="111"/>
      <c r="CS79" s="111"/>
      <c r="CT79" s="111"/>
      <c r="CU79" s="111"/>
      <c r="CV79" s="111"/>
      <c r="CW79" s="111"/>
      <c r="CX79" s="111"/>
      <c r="CY79" s="111"/>
      <c r="CZ79" s="111"/>
      <c r="DA79" s="111"/>
      <c r="DB79" s="111"/>
      <c r="DC79" s="111"/>
      <c r="DD79" s="111"/>
      <c r="DE79" s="111"/>
      <c r="DF79" s="111"/>
      <c r="DG79" s="111"/>
      <c r="DH79" s="111"/>
      <c r="DI79" s="111"/>
      <c r="DJ79" s="111"/>
      <c r="DK79" s="111"/>
      <c r="DL79" s="111"/>
      <c r="DM79" s="111"/>
      <c r="DN79" s="111"/>
      <c r="DO79" s="111"/>
      <c r="DP79" s="111"/>
      <c r="DQ79" s="111"/>
      <c r="DR79" s="111"/>
      <c r="DS79" s="111"/>
      <c r="DT79" s="111"/>
      <c r="DU79" s="111"/>
      <c r="DV79" s="111"/>
      <c r="DW79" s="111"/>
      <c r="DX79" s="111"/>
      <c r="DY79" s="111"/>
      <c r="DZ79" s="111"/>
      <c r="EA79" s="111"/>
      <c r="EB79" s="111"/>
      <c r="EC79" s="111"/>
      <c r="ED79" s="111"/>
      <c r="EE79" s="111"/>
      <c r="EF79" s="111"/>
      <c r="EG79" s="111"/>
      <c r="EH79" s="111"/>
      <c r="EI79" s="111"/>
      <c r="EJ79" s="111"/>
      <c r="EK79" s="111"/>
      <c r="EL79" s="111"/>
      <c r="EM79" s="111"/>
      <c r="EN79" s="111"/>
      <c r="EO79" s="111"/>
      <c r="EP79" s="111"/>
      <c r="EQ79" s="111"/>
      <c r="ER79" s="111"/>
      <c r="ES79" s="111"/>
      <c r="ET79" s="111"/>
      <c r="EU79" s="111"/>
      <c r="EV79" s="111"/>
      <c r="EW79" s="111"/>
      <c r="EX79" s="111"/>
      <c r="EY79" s="111"/>
      <c r="EZ79" s="111"/>
      <c r="FA79" s="111"/>
      <c r="FB79" s="111"/>
      <c r="FC79" s="111"/>
      <c r="FD79" s="111"/>
      <c r="FE79" s="111"/>
      <c r="FF79" s="111"/>
      <c r="FG79" s="111"/>
      <c r="FH79" s="111"/>
      <c r="FI79" s="111"/>
      <c r="FJ79" s="111"/>
      <c r="FK79" s="111"/>
      <c r="FL79" s="111"/>
      <c r="FM79" s="111"/>
      <c r="FN79" s="111"/>
      <c r="FO79" s="111"/>
      <c r="FP79" s="111"/>
      <c r="FQ79" s="111"/>
      <c r="FR79" s="111"/>
      <c r="FS79" s="111"/>
      <c r="FT79" s="111"/>
      <c r="FU79" s="111"/>
      <c r="FV79" s="111"/>
      <c r="FW79" s="111"/>
      <c r="FX79" s="111"/>
      <c r="FY79" s="111"/>
      <c r="FZ79" s="111"/>
      <c r="GA79" s="111"/>
      <c r="GB79" s="111"/>
      <c r="GC79" s="111"/>
      <c r="GD79" s="111"/>
      <c r="GE79" s="111"/>
      <c r="GF79" s="111"/>
      <c r="GG79" s="111"/>
      <c r="GH79" s="111"/>
      <c r="GI79" s="111"/>
      <c r="GJ79" s="111"/>
      <c r="GK79" s="111"/>
      <c r="GL79" s="111"/>
      <c r="GM79" s="111"/>
      <c r="GN79" s="111"/>
      <c r="GO79" s="111"/>
      <c r="GP79" s="111"/>
      <c r="GQ79" s="111"/>
      <c r="GR79" s="111"/>
      <c r="GS79" s="111"/>
      <c r="GT79" s="111"/>
      <c r="GU79" s="111"/>
      <c r="GV79" s="111"/>
      <c r="GW79" s="111"/>
      <c r="GX79" s="111"/>
      <c r="GY79" s="111"/>
      <c r="GZ79" s="111"/>
      <c r="HA79" s="111"/>
      <c r="HB79" s="111"/>
      <c r="HC79" s="111"/>
      <c r="HD79" s="111"/>
      <c r="HE79" s="111"/>
      <c r="HF79" s="111"/>
      <c r="HG79" s="111"/>
      <c r="HH79" s="111"/>
      <c r="HI79" s="111"/>
      <c r="HJ79" s="111"/>
      <c r="HK79" s="111"/>
      <c r="HL79" s="111"/>
      <c r="HM79" s="111"/>
      <c r="HN79" s="111"/>
      <c r="HO79" s="111"/>
      <c r="HP79" s="111"/>
      <c r="HQ79" s="111"/>
      <c r="HR79" s="111"/>
      <c r="HS79" s="111"/>
    </row>
    <row r="80" spans="1:227" ht="12">
      <c r="A80" s="74"/>
      <c r="B80" s="15"/>
      <c r="C80" s="15" t="s">
        <v>20</v>
      </c>
      <c r="D80" s="15"/>
      <c r="E80" s="15"/>
      <c r="F80" s="15"/>
      <c r="H80" s="121"/>
      <c r="I80" s="475"/>
      <c r="J80" s="474"/>
      <c r="K80" s="474"/>
      <c r="L80" s="474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/>
      <c r="CG80" s="111"/>
      <c r="CH80" s="111"/>
      <c r="CI80" s="111"/>
      <c r="CJ80" s="111"/>
      <c r="CK80" s="111"/>
      <c r="CL80" s="111"/>
      <c r="CM80" s="111"/>
      <c r="CN80" s="111"/>
      <c r="CO80" s="111"/>
      <c r="CP80" s="111"/>
      <c r="CQ80" s="111"/>
      <c r="CR80" s="111"/>
      <c r="CS80" s="111"/>
      <c r="CT80" s="111"/>
      <c r="CU80" s="111"/>
      <c r="CV80" s="111"/>
      <c r="CW80" s="111"/>
      <c r="CX80" s="111"/>
      <c r="CY80" s="111"/>
      <c r="CZ80" s="111"/>
      <c r="DA80" s="111"/>
      <c r="DB80" s="111"/>
      <c r="DC80" s="111"/>
      <c r="DD80" s="111"/>
      <c r="DE80" s="111"/>
      <c r="DF80" s="111"/>
      <c r="DG80" s="111"/>
      <c r="DH80" s="111"/>
      <c r="DI80" s="111"/>
      <c r="DJ80" s="111"/>
      <c r="DK80" s="111"/>
      <c r="DL80" s="111"/>
      <c r="DM80" s="111"/>
      <c r="DN80" s="111"/>
      <c r="DO80" s="111"/>
      <c r="DP80" s="111"/>
      <c r="DQ80" s="111"/>
      <c r="DR80" s="111"/>
      <c r="DS80" s="111"/>
      <c r="DT80" s="111"/>
      <c r="DU80" s="111"/>
      <c r="DV80" s="111"/>
      <c r="DW80" s="111"/>
      <c r="DX80" s="111"/>
      <c r="DY80" s="111"/>
      <c r="DZ80" s="111"/>
      <c r="EA80" s="111"/>
      <c r="EB80" s="111"/>
      <c r="EC80" s="111"/>
      <c r="ED80" s="111"/>
      <c r="EE80" s="111"/>
      <c r="EF80" s="111"/>
      <c r="EG80" s="111"/>
      <c r="EH80" s="111"/>
      <c r="EI80" s="111"/>
      <c r="EJ80" s="111"/>
      <c r="EK80" s="111"/>
      <c r="EL80" s="111"/>
      <c r="EM80" s="111"/>
      <c r="EN80" s="111"/>
      <c r="EO80" s="111"/>
      <c r="EP80" s="111"/>
      <c r="EQ80" s="111"/>
      <c r="ER80" s="111"/>
      <c r="ES80" s="111"/>
      <c r="ET80" s="111"/>
      <c r="EU80" s="111"/>
      <c r="EV80" s="111"/>
      <c r="EW80" s="111"/>
      <c r="EX80" s="111"/>
      <c r="EY80" s="111"/>
      <c r="EZ80" s="111"/>
      <c r="FA80" s="111"/>
      <c r="FB80" s="111"/>
      <c r="FC80" s="111"/>
      <c r="FD80" s="111"/>
      <c r="FE80" s="111"/>
      <c r="FF80" s="111"/>
      <c r="FG80" s="111"/>
      <c r="FH80" s="111"/>
      <c r="FI80" s="111"/>
      <c r="FJ80" s="111"/>
      <c r="FK80" s="111"/>
      <c r="FL80" s="111"/>
      <c r="FM80" s="111"/>
      <c r="FN80" s="111"/>
      <c r="FO80" s="111"/>
      <c r="FP80" s="111"/>
      <c r="FQ80" s="111"/>
      <c r="FR80" s="111"/>
      <c r="FS80" s="111"/>
      <c r="FT80" s="111"/>
      <c r="FU80" s="111"/>
      <c r="FV80" s="111"/>
      <c r="FW80" s="111"/>
      <c r="FX80" s="111"/>
      <c r="FY80" s="111"/>
      <c r="FZ80" s="111"/>
      <c r="GA80" s="111"/>
      <c r="GB80" s="111"/>
      <c r="GC80" s="111"/>
      <c r="GD80" s="111"/>
      <c r="GE80" s="111"/>
      <c r="GF80" s="111"/>
      <c r="GG80" s="111"/>
      <c r="GH80" s="111"/>
      <c r="GI80" s="111"/>
      <c r="GJ80" s="111"/>
      <c r="GK80" s="111"/>
      <c r="GL80" s="111"/>
      <c r="GM80" s="111"/>
      <c r="GN80" s="111"/>
      <c r="GO80" s="111"/>
      <c r="GP80" s="111"/>
      <c r="GQ80" s="111"/>
      <c r="GR80" s="111"/>
      <c r="GS80" s="111"/>
      <c r="GT80" s="111"/>
      <c r="GU80" s="111"/>
      <c r="GV80" s="111"/>
      <c r="GW80" s="111"/>
      <c r="GX80" s="111"/>
      <c r="GY80" s="111"/>
      <c r="GZ80" s="111"/>
      <c r="HA80" s="111"/>
      <c r="HB80" s="111"/>
      <c r="HC80" s="111"/>
      <c r="HD80" s="111"/>
      <c r="HE80" s="111"/>
      <c r="HF80" s="111"/>
      <c r="HG80" s="111"/>
      <c r="HH80" s="111"/>
      <c r="HI80" s="111"/>
      <c r="HJ80" s="111"/>
      <c r="HK80" s="111"/>
      <c r="HL80" s="111"/>
      <c r="HM80" s="111"/>
      <c r="HN80" s="111"/>
      <c r="HO80" s="111"/>
      <c r="HP80" s="111"/>
      <c r="HQ80" s="111"/>
      <c r="HR80" s="111"/>
      <c r="HS80" s="111"/>
    </row>
    <row r="81" spans="1:227" ht="12">
      <c r="A81" s="74"/>
      <c r="B81" s="15" t="s">
        <v>186</v>
      </c>
      <c r="H81" s="120"/>
      <c r="I81" s="475"/>
      <c r="J81" s="474"/>
      <c r="K81" s="474"/>
      <c r="L81" s="474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11"/>
      <c r="BY81" s="111"/>
      <c r="BZ81" s="111"/>
      <c r="CA81" s="111"/>
      <c r="CB81" s="111"/>
      <c r="CC81" s="111"/>
      <c r="CD81" s="111"/>
      <c r="CE81" s="111"/>
      <c r="CF81" s="111"/>
      <c r="CG81" s="111"/>
      <c r="CH81" s="111"/>
      <c r="CI81" s="111"/>
      <c r="CJ81" s="111"/>
      <c r="CK81" s="111"/>
      <c r="CL81" s="111"/>
      <c r="CM81" s="111"/>
      <c r="CN81" s="111"/>
      <c r="CO81" s="111"/>
      <c r="CP81" s="111"/>
      <c r="CQ81" s="111"/>
      <c r="CR81" s="111"/>
      <c r="CS81" s="111"/>
      <c r="CT81" s="111"/>
      <c r="CU81" s="111"/>
      <c r="CV81" s="111"/>
      <c r="CW81" s="111"/>
      <c r="CX81" s="111"/>
      <c r="CY81" s="111"/>
      <c r="CZ81" s="111"/>
      <c r="DA81" s="111"/>
      <c r="DB81" s="111"/>
      <c r="DC81" s="111"/>
      <c r="DD81" s="111"/>
      <c r="DE81" s="111"/>
      <c r="DF81" s="111"/>
      <c r="DG81" s="111"/>
      <c r="DH81" s="111"/>
      <c r="DI81" s="111"/>
      <c r="DJ81" s="111"/>
      <c r="DK81" s="111"/>
      <c r="DL81" s="111"/>
      <c r="DM81" s="111"/>
      <c r="DN81" s="111"/>
      <c r="DO81" s="111"/>
      <c r="DP81" s="111"/>
      <c r="DQ81" s="111"/>
      <c r="DR81" s="111"/>
      <c r="DS81" s="111"/>
      <c r="DT81" s="111"/>
      <c r="DU81" s="111"/>
      <c r="DV81" s="111"/>
      <c r="DW81" s="111"/>
      <c r="DX81" s="111"/>
      <c r="DY81" s="111"/>
      <c r="DZ81" s="111"/>
      <c r="EA81" s="111"/>
      <c r="EB81" s="111"/>
      <c r="EC81" s="111"/>
      <c r="ED81" s="111"/>
      <c r="EE81" s="111"/>
      <c r="EF81" s="111"/>
      <c r="EG81" s="111"/>
      <c r="EH81" s="111"/>
      <c r="EI81" s="111"/>
      <c r="EJ81" s="111"/>
      <c r="EK81" s="111"/>
      <c r="EL81" s="111"/>
      <c r="EM81" s="111"/>
      <c r="EN81" s="111"/>
      <c r="EO81" s="111"/>
      <c r="EP81" s="111"/>
      <c r="EQ81" s="111"/>
      <c r="ER81" s="111"/>
      <c r="ES81" s="111"/>
      <c r="ET81" s="111"/>
      <c r="EU81" s="111"/>
      <c r="EV81" s="111"/>
      <c r="EW81" s="111"/>
      <c r="EX81" s="111"/>
      <c r="EY81" s="111"/>
      <c r="EZ81" s="111"/>
      <c r="FA81" s="111"/>
      <c r="FB81" s="111"/>
      <c r="FC81" s="111"/>
      <c r="FD81" s="111"/>
      <c r="FE81" s="111"/>
      <c r="FF81" s="111"/>
      <c r="FG81" s="111"/>
      <c r="FH81" s="111"/>
      <c r="FI81" s="111"/>
      <c r="FJ81" s="111"/>
      <c r="FK81" s="111"/>
      <c r="FL81" s="111"/>
      <c r="FM81" s="111"/>
      <c r="FN81" s="111"/>
      <c r="FO81" s="111"/>
      <c r="FP81" s="111"/>
      <c r="FQ81" s="111"/>
      <c r="FR81" s="111"/>
      <c r="FS81" s="111"/>
      <c r="FT81" s="111"/>
      <c r="FU81" s="111"/>
      <c r="FV81" s="111"/>
      <c r="FW81" s="111"/>
      <c r="FX81" s="111"/>
      <c r="FY81" s="111"/>
      <c r="FZ81" s="111"/>
      <c r="GA81" s="111"/>
      <c r="GB81" s="111"/>
      <c r="GC81" s="111"/>
      <c r="GD81" s="111"/>
      <c r="GE81" s="111"/>
      <c r="GF81" s="111"/>
      <c r="GG81" s="111"/>
      <c r="GH81" s="111"/>
      <c r="GI81" s="111"/>
      <c r="GJ81" s="111"/>
      <c r="GK81" s="111"/>
      <c r="GL81" s="111"/>
      <c r="GM81" s="111"/>
      <c r="GN81" s="111"/>
      <c r="GO81" s="111"/>
      <c r="GP81" s="111"/>
      <c r="GQ81" s="111"/>
      <c r="GR81" s="111"/>
      <c r="GS81" s="111"/>
      <c r="GT81" s="111"/>
      <c r="GU81" s="111"/>
      <c r="GV81" s="111"/>
      <c r="GW81" s="111"/>
      <c r="GX81" s="111"/>
      <c r="GY81" s="111"/>
      <c r="GZ81" s="111"/>
      <c r="HA81" s="111"/>
      <c r="HB81" s="111"/>
      <c r="HC81" s="111"/>
      <c r="HD81" s="111"/>
      <c r="HE81" s="111"/>
      <c r="HF81" s="111"/>
      <c r="HG81" s="111"/>
      <c r="HH81" s="111"/>
      <c r="HI81" s="111"/>
      <c r="HJ81" s="111"/>
      <c r="HK81" s="111"/>
      <c r="HL81" s="111"/>
      <c r="HM81" s="111"/>
      <c r="HN81" s="111"/>
      <c r="HO81" s="111"/>
      <c r="HP81" s="111"/>
      <c r="HQ81" s="111"/>
      <c r="HR81" s="111"/>
      <c r="HS81" s="111"/>
    </row>
    <row r="82" spans="1:227" ht="12.75" thickBot="1">
      <c r="A82" s="74"/>
      <c r="B82" s="49"/>
      <c r="C82" s="49"/>
      <c r="D82" s="49"/>
      <c r="E82" s="49"/>
      <c r="F82" s="49"/>
      <c r="G82" s="49"/>
      <c r="H82" s="121"/>
      <c r="I82" s="475"/>
      <c r="J82" s="474"/>
      <c r="K82" s="474"/>
      <c r="L82" s="474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  <c r="BH82" s="111"/>
      <c r="BI82" s="111"/>
      <c r="BJ82" s="111"/>
      <c r="BK82" s="111"/>
      <c r="BL82" s="111"/>
      <c r="BM82" s="111"/>
      <c r="BN82" s="111"/>
      <c r="BO82" s="111"/>
      <c r="BP82" s="111"/>
      <c r="BQ82" s="111"/>
      <c r="BR82" s="111"/>
      <c r="BS82" s="111"/>
      <c r="BT82" s="111"/>
      <c r="BU82" s="111"/>
      <c r="BV82" s="111"/>
      <c r="BW82" s="111"/>
      <c r="BX82" s="111"/>
      <c r="BY82" s="111"/>
      <c r="BZ82" s="111"/>
      <c r="CA82" s="111"/>
      <c r="CB82" s="111"/>
      <c r="CC82" s="111"/>
      <c r="CD82" s="111"/>
      <c r="CE82" s="111"/>
      <c r="CF82" s="111"/>
      <c r="CG82" s="111"/>
      <c r="CH82" s="111"/>
      <c r="CI82" s="111"/>
      <c r="CJ82" s="111"/>
      <c r="CK82" s="111"/>
      <c r="CL82" s="111"/>
      <c r="CM82" s="111"/>
      <c r="CN82" s="111"/>
      <c r="CO82" s="111"/>
      <c r="CP82" s="111"/>
      <c r="CQ82" s="111"/>
      <c r="CR82" s="111"/>
      <c r="CS82" s="111"/>
      <c r="CT82" s="111"/>
      <c r="CU82" s="111"/>
      <c r="CV82" s="111"/>
      <c r="CW82" s="111"/>
      <c r="CX82" s="111"/>
      <c r="CY82" s="111"/>
      <c r="CZ82" s="111"/>
      <c r="DA82" s="111"/>
      <c r="DB82" s="111"/>
      <c r="DC82" s="111"/>
      <c r="DD82" s="111"/>
      <c r="DE82" s="111"/>
      <c r="DF82" s="111"/>
      <c r="DG82" s="111"/>
      <c r="DH82" s="111"/>
      <c r="DI82" s="111"/>
      <c r="DJ82" s="111"/>
      <c r="DK82" s="111"/>
      <c r="DL82" s="111"/>
      <c r="DM82" s="111"/>
      <c r="DN82" s="111"/>
      <c r="DO82" s="111"/>
      <c r="DP82" s="111"/>
      <c r="DQ82" s="111"/>
      <c r="DR82" s="111"/>
      <c r="DS82" s="111"/>
      <c r="DT82" s="111"/>
      <c r="DU82" s="111"/>
      <c r="DV82" s="111"/>
      <c r="DW82" s="111"/>
      <c r="DX82" s="111"/>
      <c r="DY82" s="111"/>
      <c r="DZ82" s="111"/>
      <c r="EA82" s="111"/>
      <c r="EB82" s="111"/>
      <c r="EC82" s="111"/>
      <c r="ED82" s="111"/>
      <c r="EE82" s="111"/>
      <c r="EF82" s="111"/>
      <c r="EG82" s="111"/>
      <c r="EH82" s="111"/>
      <c r="EI82" s="111"/>
      <c r="EJ82" s="111"/>
      <c r="EK82" s="111"/>
      <c r="EL82" s="111"/>
      <c r="EM82" s="111"/>
      <c r="EN82" s="111"/>
      <c r="EO82" s="111"/>
      <c r="EP82" s="111"/>
      <c r="EQ82" s="111"/>
      <c r="ER82" s="111"/>
      <c r="ES82" s="111"/>
      <c r="ET82" s="111"/>
      <c r="EU82" s="111"/>
      <c r="EV82" s="111"/>
      <c r="EW82" s="111"/>
      <c r="EX82" s="111"/>
      <c r="EY82" s="111"/>
      <c r="EZ82" s="111"/>
      <c r="FA82" s="111"/>
      <c r="FB82" s="111"/>
      <c r="FC82" s="111"/>
      <c r="FD82" s="111"/>
      <c r="FE82" s="111"/>
      <c r="FF82" s="111"/>
      <c r="FG82" s="111"/>
      <c r="FH82" s="111"/>
      <c r="FI82" s="111"/>
      <c r="FJ82" s="111"/>
      <c r="FK82" s="111"/>
      <c r="FL82" s="111"/>
      <c r="FM82" s="111"/>
      <c r="FN82" s="111"/>
      <c r="FO82" s="111"/>
      <c r="FP82" s="111"/>
      <c r="FQ82" s="111"/>
      <c r="FR82" s="111"/>
      <c r="FS82" s="111"/>
      <c r="FT82" s="111"/>
      <c r="FU82" s="111"/>
      <c r="FV82" s="111"/>
      <c r="FW82" s="111"/>
      <c r="FX82" s="111"/>
      <c r="FY82" s="111"/>
      <c r="FZ82" s="111"/>
      <c r="GA82" s="111"/>
      <c r="GB82" s="111"/>
      <c r="GC82" s="111"/>
      <c r="GD82" s="111"/>
      <c r="GE82" s="111"/>
      <c r="GF82" s="111"/>
      <c r="GG82" s="111"/>
      <c r="GH82" s="111"/>
      <c r="GI82" s="111"/>
      <c r="GJ82" s="111"/>
      <c r="GK82" s="111"/>
      <c r="GL82" s="111"/>
      <c r="GM82" s="111"/>
      <c r="GN82" s="111"/>
      <c r="GO82" s="111"/>
      <c r="GP82" s="111"/>
      <c r="GQ82" s="111"/>
      <c r="GR82" s="111"/>
      <c r="GS82" s="111"/>
      <c r="GT82" s="111"/>
      <c r="GU82" s="111"/>
      <c r="GV82" s="111"/>
      <c r="GW82" s="111"/>
      <c r="GX82" s="111"/>
      <c r="GY82" s="111"/>
      <c r="GZ82" s="111"/>
      <c r="HA82" s="111"/>
      <c r="HB82" s="111"/>
      <c r="HC82" s="111"/>
      <c r="HD82" s="111"/>
      <c r="HE82" s="111"/>
      <c r="HF82" s="111"/>
      <c r="HG82" s="111"/>
      <c r="HH82" s="111"/>
      <c r="HI82" s="111"/>
      <c r="HJ82" s="111"/>
      <c r="HK82" s="111"/>
      <c r="HL82" s="111"/>
      <c r="HM82" s="111"/>
      <c r="HN82" s="111"/>
      <c r="HO82" s="111"/>
      <c r="HP82" s="111"/>
      <c r="HQ82" s="111"/>
      <c r="HR82" s="111"/>
      <c r="HS82" s="111"/>
    </row>
    <row r="83" spans="1:227" s="15" customFormat="1" ht="12.75" thickTop="1">
      <c r="A83" s="486"/>
      <c r="B83" s="135" t="s">
        <v>187</v>
      </c>
      <c r="C83" s="487"/>
      <c r="D83" s="359"/>
      <c r="E83" s="345"/>
      <c r="F83" s="345"/>
      <c r="G83" s="345"/>
      <c r="H83" s="484"/>
      <c r="I83" s="483"/>
      <c r="J83" s="488"/>
      <c r="K83" s="483"/>
      <c r="L83" s="389"/>
      <c r="M83" s="103"/>
      <c r="N83" s="31"/>
      <c r="O83" s="31"/>
      <c r="P83" s="111"/>
      <c r="Q83" s="142"/>
      <c r="R83" s="43"/>
      <c r="S83" s="43"/>
      <c r="T83" s="111"/>
      <c r="U83" s="142"/>
      <c r="V83" s="43"/>
      <c r="W83" s="43"/>
      <c r="X83" s="111"/>
      <c r="Y83" s="142"/>
      <c r="Z83" s="43"/>
      <c r="AA83" s="43"/>
      <c r="AB83" s="111"/>
      <c r="AC83" s="142"/>
      <c r="AD83" s="43"/>
      <c r="AE83" s="43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  <c r="BU83" s="111"/>
      <c r="BV83" s="111"/>
      <c r="BW83" s="111"/>
      <c r="BX83" s="111"/>
      <c r="BY83" s="111"/>
      <c r="BZ83" s="111"/>
      <c r="CA83" s="111"/>
      <c r="CB83" s="111"/>
      <c r="CC83" s="111"/>
      <c r="CD83" s="111"/>
      <c r="CE83" s="111"/>
      <c r="CF83" s="111"/>
      <c r="CG83" s="111"/>
      <c r="CH83" s="111"/>
      <c r="CI83" s="111"/>
      <c r="CJ83" s="111"/>
      <c r="CK83" s="111"/>
      <c r="CL83" s="111"/>
      <c r="CM83" s="111"/>
      <c r="CN83" s="111"/>
      <c r="CO83" s="111"/>
      <c r="CP83" s="111"/>
      <c r="CQ83" s="111"/>
      <c r="CR83" s="111"/>
      <c r="CS83" s="111"/>
      <c r="CT83" s="111"/>
      <c r="CU83" s="111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49"/>
      <c r="FK83" s="49"/>
      <c r="FL83" s="49"/>
      <c r="FM83" s="49"/>
      <c r="FN83" s="49"/>
      <c r="FO83" s="49"/>
      <c r="FP83" s="49"/>
      <c r="FQ83" s="49"/>
      <c r="FR83" s="49"/>
      <c r="FS83" s="49"/>
      <c r="FT83" s="49"/>
      <c r="FU83" s="49"/>
      <c r="FV83" s="49"/>
      <c r="FW83" s="49"/>
      <c r="FX83" s="49"/>
      <c r="FY83" s="49"/>
      <c r="FZ83" s="49"/>
      <c r="GA83" s="49"/>
      <c r="GB83" s="49"/>
      <c r="GC83" s="49"/>
      <c r="GD83" s="49"/>
      <c r="GE83" s="49"/>
      <c r="GF83" s="49"/>
      <c r="GG83" s="49"/>
      <c r="GH83" s="49"/>
      <c r="GI83" s="49"/>
      <c r="GJ83" s="49"/>
      <c r="GK83" s="49"/>
      <c r="GL83" s="49"/>
      <c r="GM83" s="49"/>
      <c r="GN83" s="49"/>
      <c r="GO83" s="49"/>
      <c r="GP83" s="49"/>
      <c r="GQ83" s="49"/>
      <c r="GR83" s="49"/>
      <c r="GS83" s="49"/>
      <c r="GT83" s="49"/>
      <c r="GU83" s="49"/>
      <c r="GV83" s="49"/>
      <c r="GW83" s="49"/>
      <c r="GX83" s="49"/>
      <c r="GY83" s="49"/>
      <c r="GZ83" s="49"/>
      <c r="HA83" s="49"/>
      <c r="HB83" s="49"/>
      <c r="HC83" s="49"/>
      <c r="HD83" s="49"/>
      <c r="HE83" s="49"/>
      <c r="HF83" s="49"/>
      <c r="HG83" s="49"/>
      <c r="HH83" s="49"/>
      <c r="HI83" s="49"/>
      <c r="HJ83" s="49"/>
      <c r="HK83" s="49"/>
      <c r="HL83" s="49"/>
      <c r="HM83" s="49"/>
      <c r="HN83" s="49"/>
      <c r="HO83" s="49"/>
      <c r="HP83" s="49"/>
      <c r="HQ83" s="49"/>
      <c r="HR83" s="49"/>
      <c r="HS83" s="49"/>
    </row>
    <row r="84" spans="1:227" s="15" customFormat="1" ht="12">
      <c r="A84" s="74"/>
      <c r="B84" s="485"/>
      <c r="C84" s="49"/>
      <c r="D84" s="49"/>
      <c r="E84" s="49"/>
      <c r="F84" s="49"/>
      <c r="G84" s="49"/>
      <c r="H84" s="240"/>
      <c r="I84" s="476"/>
      <c r="J84" s="476"/>
      <c r="K84" s="476"/>
      <c r="L84" s="242"/>
      <c r="M84" s="103"/>
      <c r="N84" s="31"/>
      <c r="O84" s="31"/>
      <c r="P84" s="111"/>
      <c r="Q84" s="142"/>
      <c r="R84" s="43"/>
      <c r="S84" s="43"/>
      <c r="T84" s="111"/>
      <c r="U84" s="142"/>
      <c r="V84" s="43"/>
      <c r="W84" s="43"/>
      <c r="X84" s="111"/>
      <c r="Y84" s="142"/>
      <c r="Z84" s="43"/>
      <c r="AA84" s="43"/>
      <c r="AB84" s="111"/>
      <c r="AC84" s="142"/>
      <c r="AD84" s="43"/>
      <c r="AE84" s="43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  <c r="BI84" s="111"/>
      <c r="BJ84" s="111"/>
      <c r="BK84" s="111"/>
      <c r="BL84" s="111"/>
      <c r="BM84" s="111"/>
      <c r="BN84" s="111"/>
      <c r="BO84" s="111"/>
      <c r="BP84" s="111"/>
      <c r="BQ84" s="111"/>
      <c r="BR84" s="111"/>
      <c r="BS84" s="111"/>
      <c r="BT84" s="111"/>
      <c r="BU84" s="111"/>
      <c r="BV84" s="111"/>
      <c r="BW84" s="111"/>
      <c r="BX84" s="111"/>
      <c r="BY84" s="111"/>
      <c r="BZ84" s="111"/>
      <c r="CA84" s="111"/>
      <c r="CB84" s="111"/>
      <c r="CC84" s="111"/>
      <c r="CD84" s="111"/>
      <c r="CE84" s="111"/>
      <c r="CF84" s="111"/>
      <c r="CG84" s="111"/>
      <c r="CH84" s="111"/>
      <c r="CI84" s="111"/>
      <c r="CJ84" s="111"/>
      <c r="CK84" s="111"/>
      <c r="CL84" s="111"/>
      <c r="CM84" s="111"/>
      <c r="CN84" s="111"/>
      <c r="CO84" s="111"/>
      <c r="CP84" s="111"/>
      <c r="CQ84" s="111"/>
      <c r="CR84" s="111"/>
      <c r="CS84" s="111"/>
      <c r="CT84" s="111"/>
      <c r="CU84" s="111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  <c r="FO84" s="49"/>
      <c r="FP84" s="49"/>
      <c r="FQ84" s="49"/>
      <c r="FR84" s="49"/>
      <c r="FS84" s="49"/>
      <c r="FT84" s="49"/>
      <c r="FU84" s="49"/>
      <c r="FV84" s="49"/>
      <c r="FW84" s="49"/>
      <c r="FX84" s="49"/>
      <c r="FY84" s="49"/>
      <c r="FZ84" s="49"/>
      <c r="GA84" s="49"/>
      <c r="GB84" s="49"/>
      <c r="GC84" s="49"/>
      <c r="GD84" s="49"/>
      <c r="GE84" s="49"/>
      <c r="GF84" s="49"/>
      <c r="GG84" s="49"/>
      <c r="GH84" s="49"/>
      <c r="GI84" s="49"/>
      <c r="GJ84" s="49"/>
      <c r="GK84" s="49"/>
      <c r="GL84" s="49"/>
      <c r="GM84" s="49"/>
      <c r="GN84" s="49"/>
      <c r="GO84" s="49"/>
      <c r="GP84" s="49"/>
      <c r="GQ84" s="49"/>
      <c r="GR84" s="49"/>
      <c r="GS84" s="49"/>
      <c r="GT84" s="49"/>
      <c r="GU84" s="49"/>
      <c r="GV84" s="49"/>
      <c r="GW84" s="49"/>
      <c r="GX84" s="49"/>
      <c r="GY84" s="49"/>
      <c r="GZ84" s="49"/>
      <c r="HA84" s="49"/>
      <c r="HB84" s="49"/>
      <c r="HC84" s="49"/>
      <c r="HD84" s="49"/>
      <c r="HE84" s="49"/>
      <c r="HF84" s="49"/>
      <c r="HG84" s="49"/>
      <c r="HH84" s="49"/>
      <c r="HI84" s="49"/>
      <c r="HJ84" s="49"/>
      <c r="HK84" s="49"/>
      <c r="HL84" s="49"/>
      <c r="HM84" s="49"/>
      <c r="HN84" s="49"/>
      <c r="HO84" s="49"/>
      <c r="HP84" s="49"/>
      <c r="HQ84" s="49"/>
      <c r="HR84" s="49"/>
      <c r="HS84" s="49"/>
    </row>
    <row r="85" spans="1:227" s="15" customFormat="1" ht="12">
      <c r="A85" s="74">
        <v>3</v>
      </c>
      <c r="B85" s="33" t="s">
        <v>142</v>
      </c>
      <c r="C85" s="49"/>
      <c r="D85" s="49"/>
      <c r="E85" s="49"/>
      <c r="F85" s="49"/>
      <c r="G85" s="49"/>
      <c r="H85" s="240"/>
      <c r="I85" s="476"/>
      <c r="J85" s="476"/>
      <c r="K85" s="476"/>
      <c r="L85" s="242"/>
      <c r="M85" s="103"/>
      <c r="N85" s="31"/>
      <c r="O85" s="31"/>
      <c r="P85" s="111"/>
      <c r="Q85" s="142"/>
      <c r="R85" s="43"/>
      <c r="S85" s="43"/>
      <c r="T85" s="111"/>
      <c r="U85" s="142"/>
      <c r="V85" s="43"/>
      <c r="W85" s="43"/>
      <c r="X85" s="111"/>
      <c r="Y85" s="142"/>
      <c r="Z85" s="43"/>
      <c r="AA85" s="43"/>
      <c r="AB85" s="111"/>
      <c r="AC85" s="142"/>
      <c r="AD85" s="43"/>
      <c r="AE85" s="43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1"/>
      <c r="BW85" s="111"/>
      <c r="BX85" s="111"/>
      <c r="BY85" s="111"/>
      <c r="BZ85" s="111"/>
      <c r="CA85" s="111"/>
      <c r="CB85" s="111"/>
      <c r="CC85" s="111"/>
      <c r="CD85" s="111"/>
      <c r="CE85" s="111"/>
      <c r="CF85" s="111"/>
      <c r="CG85" s="111"/>
      <c r="CH85" s="111"/>
      <c r="CI85" s="111"/>
      <c r="CJ85" s="111"/>
      <c r="CK85" s="111"/>
      <c r="CL85" s="111"/>
      <c r="CM85" s="111"/>
      <c r="CN85" s="111"/>
      <c r="CO85" s="111"/>
      <c r="CP85" s="111"/>
      <c r="CQ85" s="111"/>
      <c r="CR85" s="111"/>
      <c r="CS85" s="111"/>
      <c r="CT85" s="111"/>
      <c r="CU85" s="111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49"/>
      <c r="FK85" s="49"/>
      <c r="FL85" s="49"/>
      <c r="FM85" s="49"/>
      <c r="FN85" s="49"/>
      <c r="FO85" s="49"/>
      <c r="FP85" s="49"/>
      <c r="FQ85" s="49"/>
      <c r="FR85" s="49"/>
      <c r="FS85" s="49"/>
      <c r="FT85" s="49"/>
      <c r="FU85" s="49"/>
      <c r="FV85" s="49"/>
      <c r="FW85" s="49"/>
      <c r="FX85" s="49"/>
      <c r="FY85" s="49"/>
      <c r="FZ85" s="49"/>
      <c r="GA85" s="49"/>
      <c r="GB85" s="49"/>
      <c r="GC85" s="49"/>
      <c r="GD85" s="49"/>
      <c r="GE85" s="49"/>
      <c r="GF85" s="49"/>
      <c r="GG85" s="49"/>
      <c r="GH85" s="49"/>
      <c r="GI85" s="49"/>
      <c r="GJ85" s="49"/>
      <c r="GK85" s="49"/>
      <c r="GL85" s="49"/>
      <c r="GM85" s="49"/>
      <c r="GN85" s="49"/>
      <c r="GO85" s="49"/>
      <c r="GP85" s="49"/>
      <c r="GQ85" s="49"/>
      <c r="GR85" s="49"/>
      <c r="GS85" s="49"/>
      <c r="GT85" s="49"/>
      <c r="GU85" s="49"/>
      <c r="GV85" s="49"/>
      <c r="GW85" s="49"/>
      <c r="GX85" s="49"/>
      <c r="GY85" s="49"/>
      <c r="GZ85" s="49"/>
      <c r="HA85" s="49"/>
      <c r="HB85" s="49"/>
      <c r="HC85" s="49"/>
      <c r="HD85" s="49"/>
      <c r="HE85" s="49"/>
      <c r="HF85" s="49"/>
      <c r="HG85" s="49"/>
      <c r="HH85" s="49"/>
      <c r="HI85" s="49"/>
      <c r="HJ85" s="49"/>
      <c r="HK85" s="49"/>
      <c r="HL85" s="49"/>
      <c r="HM85" s="49"/>
      <c r="HN85" s="49"/>
      <c r="HO85" s="49"/>
      <c r="HP85" s="49"/>
      <c r="HQ85" s="49"/>
      <c r="HR85" s="49"/>
      <c r="HS85" s="49"/>
    </row>
    <row r="86" spans="1:227" s="15" customFormat="1" ht="12">
      <c r="A86" s="74"/>
      <c r="B86" s="86"/>
      <c r="C86" s="49"/>
      <c r="D86" s="49"/>
      <c r="E86" s="49"/>
      <c r="F86" s="49"/>
      <c r="G86" s="49"/>
      <c r="H86" s="244"/>
      <c r="I86" s="476"/>
      <c r="J86" s="476"/>
      <c r="K86" s="476"/>
      <c r="L86" s="242"/>
      <c r="M86" s="103"/>
      <c r="N86" s="31"/>
      <c r="O86" s="31"/>
      <c r="P86" s="111"/>
      <c r="Q86" s="142"/>
      <c r="R86" s="43"/>
      <c r="S86" s="43"/>
      <c r="T86" s="111"/>
      <c r="U86" s="142"/>
      <c r="V86" s="43"/>
      <c r="W86" s="43"/>
      <c r="X86" s="111"/>
      <c r="Y86" s="142"/>
      <c r="Z86" s="43"/>
      <c r="AA86" s="43"/>
      <c r="AB86" s="111"/>
      <c r="AC86" s="142"/>
      <c r="AD86" s="43"/>
      <c r="AE86" s="43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/>
      <c r="BF86" s="111"/>
      <c r="BG86" s="111"/>
      <c r="BH86" s="111"/>
      <c r="BI86" s="111"/>
      <c r="BJ86" s="111"/>
      <c r="BK86" s="111"/>
      <c r="BL86" s="111"/>
      <c r="BM86" s="111"/>
      <c r="BN86" s="111"/>
      <c r="BO86" s="111"/>
      <c r="BP86" s="111"/>
      <c r="BQ86" s="111"/>
      <c r="BR86" s="111"/>
      <c r="BS86" s="111"/>
      <c r="BT86" s="111"/>
      <c r="BU86" s="111"/>
      <c r="BV86" s="111"/>
      <c r="BW86" s="111"/>
      <c r="BX86" s="111"/>
      <c r="BY86" s="111"/>
      <c r="BZ86" s="111"/>
      <c r="CA86" s="111"/>
      <c r="CB86" s="111"/>
      <c r="CC86" s="111"/>
      <c r="CD86" s="111"/>
      <c r="CE86" s="111"/>
      <c r="CF86" s="111"/>
      <c r="CG86" s="111"/>
      <c r="CH86" s="111"/>
      <c r="CI86" s="111"/>
      <c r="CJ86" s="111"/>
      <c r="CK86" s="111"/>
      <c r="CL86" s="111"/>
      <c r="CM86" s="111"/>
      <c r="CN86" s="111"/>
      <c r="CO86" s="111"/>
      <c r="CP86" s="111"/>
      <c r="CQ86" s="111"/>
      <c r="CR86" s="111"/>
      <c r="CS86" s="111"/>
      <c r="CT86" s="111"/>
      <c r="CU86" s="111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49"/>
      <c r="FK86" s="49"/>
      <c r="FL86" s="49"/>
      <c r="FM86" s="49"/>
      <c r="FN86" s="49"/>
      <c r="FO86" s="49"/>
      <c r="FP86" s="49"/>
      <c r="FQ86" s="49"/>
      <c r="FR86" s="49"/>
      <c r="FS86" s="49"/>
      <c r="FT86" s="49"/>
      <c r="FU86" s="49"/>
      <c r="FV86" s="49"/>
      <c r="FW86" s="49"/>
      <c r="FX86" s="49"/>
      <c r="FY86" s="49"/>
      <c r="FZ86" s="49"/>
      <c r="GA86" s="49"/>
      <c r="GB86" s="49"/>
      <c r="GC86" s="49"/>
      <c r="GD86" s="49"/>
      <c r="GE86" s="49"/>
      <c r="GF86" s="49"/>
      <c r="GG86" s="49"/>
      <c r="GH86" s="49"/>
      <c r="GI86" s="49"/>
      <c r="GJ86" s="49"/>
      <c r="GK86" s="49"/>
      <c r="GL86" s="49"/>
      <c r="GM86" s="49"/>
      <c r="GN86" s="49"/>
      <c r="GO86" s="49"/>
      <c r="GP86" s="49"/>
      <c r="GQ86" s="49"/>
      <c r="GR86" s="49"/>
      <c r="GS86" s="49"/>
      <c r="GT86" s="49"/>
      <c r="GU86" s="49"/>
      <c r="GV86" s="49"/>
      <c r="GW86" s="49"/>
      <c r="GX86" s="49"/>
      <c r="GY86" s="49"/>
      <c r="GZ86" s="49"/>
      <c r="HA86" s="49"/>
      <c r="HB86" s="49"/>
      <c r="HC86" s="49"/>
      <c r="HD86" s="49"/>
      <c r="HE86" s="49"/>
      <c r="HF86" s="49"/>
      <c r="HG86" s="49"/>
      <c r="HH86" s="49"/>
      <c r="HI86" s="49"/>
      <c r="HJ86" s="49"/>
      <c r="HK86" s="49"/>
      <c r="HL86" s="49"/>
      <c r="HM86" s="49"/>
      <c r="HN86" s="49"/>
      <c r="HO86" s="49"/>
      <c r="HP86" s="49"/>
      <c r="HQ86" s="49"/>
      <c r="HR86" s="49"/>
      <c r="HS86" s="49"/>
    </row>
    <row r="87" spans="1:227" s="15" customFormat="1" ht="36">
      <c r="A87" s="74" t="s">
        <v>27</v>
      </c>
      <c r="B87" s="15" t="s">
        <v>30</v>
      </c>
      <c r="D87" s="49"/>
      <c r="E87" s="49"/>
      <c r="F87" s="49"/>
      <c r="G87" s="49"/>
      <c r="H87" s="240" t="s">
        <v>435</v>
      </c>
      <c r="I87" s="476"/>
      <c r="J87" s="473" t="s">
        <v>504</v>
      </c>
      <c r="K87" s="476"/>
      <c r="L87" s="242"/>
      <c r="M87" s="103"/>
      <c r="N87" s="31"/>
      <c r="O87" s="31"/>
      <c r="P87" s="111"/>
      <c r="Q87" s="142"/>
      <c r="R87" s="43"/>
      <c r="S87" s="43"/>
      <c r="T87" s="111"/>
      <c r="U87" s="142"/>
      <c r="V87" s="43"/>
      <c r="W87" s="43"/>
      <c r="X87" s="111"/>
      <c r="Y87" s="142"/>
      <c r="Z87" s="43"/>
      <c r="AA87" s="43"/>
      <c r="AB87" s="111"/>
      <c r="AC87" s="142"/>
      <c r="AD87" s="43"/>
      <c r="AE87" s="43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  <c r="BH87" s="111"/>
      <c r="BI87" s="111"/>
      <c r="BJ87" s="111"/>
      <c r="BK87" s="111"/>
      <c r="BL87" s="111"/>
      <c r="BM87" s="111"/>
      <c r="BN87" s="111"/>
      <c r="BO87" s="111"/>
      <c r="BP87" s="111"/>
      <c r="BQ87" s="111"/>
      <c r="BR87" s="111"/>
      <c r="BS87" s="111"/>
      <c r="BT87" s="111"/>
      <c r="BU87" s="111"/>
      <c r="BV87" s="111"/>
      <c r="BW87" s="111"/>
      <c r="BX87" s="111"/>
      <c r="BY87" s="111"/>
      <c r="BZ87" s="111"/>
      <c r="CA87" s="111"/>
      <c r="CB87" s="111"/>
      <c r="CC87" s="111"/>
      <c r="CD87" s="111"/>
      <c r="CE87" s="111"/>
      <c r="CF87" s="111"/>
      <c r="CG87" s="111"/>
      <c r="CH87" s="111"/>
      <c r="CI87" s="111"/>
      <c r="CJ87" s="111"/>
      <c r="CK87" s="111"/>
      <c r="CL87" s="111"/>
      <c r="CM87" s="111"/>
      <c r="CN87" s="111"/>
      <c r="CO87" s="111"/>
      <c r="CP87" s="111"/>
      <c r="CQ87" s="111"/>
      <c r="CR87" s="111"/>
      <c r="CS87" s="111"/>
      <c r="CT87" s="111"/>
      <c r="CU87" s="111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  <c r="FI87" s="49"/>
      <c r="FJ87" s="49"/>
      <c r="FK87" s="49"/>
      <c r="FL87" s="49"/>
      <c r="FM87" s="49"/>
      <c r="FN87" s="49"/>
      <c r="FO87" s="49"/>
      <c r="FP87" s="49"/>
      <c r="FQ87" s="49"/>
      <c r="FR87" s="49"/>
      <c r="FS87" s="49"/>
      <c r="FT87" s="49"/>
      <c r="FU87" s="49"/>
      <c r="FV87" s="49"/>
      <c r="FW87" s="49"/>
      <c r="FX87" s="49"/>
      <c r="FY87" s="49"/>
      <c r="FZ87" s="49"/>
      <c r="GA87" s="49"/>
      <c r="GB87" s="49"/>
      <c r="GC87" s="49"/>
      <c r="GD87" s="49"/>
      <c r="GE87" s="49"/>
      <c r="GF87" s="49"/>
      <c r="GG87" s="49"/>
      <c r="GH87" s="49"/>
      <c r="GI87" s="49"/>
      <c r="GJ87" s="49"/>
      <c r="GK87" s="49"/>
      <c r="GL87" s="49"/>
      <c r="GM87" s="49"/>
      <c r="GN87" s="49"/>
      <c r="GO87" s="49"/>
      <c r="GP87" s="49"/>
      <c r="GQ87" s="49"/>
      <c r="GR87" s="49"/>
      <c r="GS87" s="49"/>
      <c r="GT87" s="49"/>
      <c r="GU87" s="49"/>
      <c r="GV87" s="49"/>
      <c r="GW87" s="49"/>
      <c r="GX87" s="49"/>
      <c r="GY87" s="49"/>
      <c r="GZ87" s="49"/>
      <c r="HA87" s="49"/>
      <c r="HB87" s="49"/>
      <c r="HC87" s="49"/>
      <c r="HD87" s="49"/>
      <c r="HE87" s="49"/>
      <c r="HF87" s="49"/>
      <c r="HG87" s="49"/>
      <c r="HH87" s="49"/>
      <c r="HI87" s="49"/>
      <c r="HJ87" s="49"/>
      <c r="HK87" s="49"/>
      <c r="HL87" s="49"/>
      <c r="HM87" s="49"/>
      <c r="HN87" s="49"/>
      <c r="HO87" s="49"/>
      <c r="HP87" s="49"/>
      <c r="HQ87" s="49"/>
      <c r="HR87" s="49"/>
      <c r="HS87" s="49"/>
    </row>
    <row r="88" spans="1:227" s="15" customFormat="1" ht="36">
      <c r="A88" s="74" t="s">
        <v>28</v>
      </c>
      <c r="B88" s="86" t="s">
        <v>144</v>
      </c>
      <c r="C88" s="49"/>
      <c r="D88" s="49"/>
      <c r="E88" s="49"/>
      <c r="F88" s="49"/>
      <c r="G88" s="49"/>
      <c r="H88" s="240"/>
      <c r="I88" s="476"/>
      <c r="J88" s="473" t="s">
        <v>505</v>
      </c>
      <c r="K88" s="476"/>
      <c r="L88" s="242"/>
      <c r="M88" s="103"/>
      <c r="N88" s="31"/>
      <c r="O88" s="31"/>
      <c r="P88" s="111"/>
      <c r="Q88" s="142"/>
      <c r="R88" s="43"/>
      <c r="S88" s="43"/>
      <c r="T88" s="111"/>
      <c r="U88" s="142"/>
      <c r="V88" s="43"/>
      <c r="W88" s="43"/>
      <c r="X88" s="111"/>
      <c r="Y88" s="142"/>
      <c r="Z88" s="43"/>
      <c r="AA88" s="43"/>
      <c r="AB88" s="111"/>
      <c r="AC88" s="142"/>
      <c r="AD88" s="43"/>
      <c r="AE88" s="43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  <c r="CC88" s="111"/>
      <c r="CD88" s="111"/>
      <c r="CE88" s="111"/>
      <c r="CF88" s="111"/>
      <c r="CG88" s="111"/>
      <c r="CH88" s="111"/>
      <c r="CI88" s="111"/>
      <c r="CJ88" s="111"/>
      <c r="CK88" s="111"/>
      <c r="CL88" s="111"/>
      <c r="CM88" s="111"/>
      <c r="CN88" s="111"/>
      <c r="CO88" s="111"/>
      <c r="CP88" s="111"/>
      <c r="CQ88" s="111"/>
      <c r="CR88" s="111"/>
      <c r="CS88" s="111"/>
      <c r="CT88" s="111"/>
      <c r="CU88" s="111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9"/>
      <c r="FJ88" s="49"/>
      <c r="FK88" s="49"/>
      <c r="FL88" s="49"/>
      <c r="FM88" s="49"/>
      <c r="FN88" s="49"/>
      <c r="FO88" s="49"/>
      <c r="FP88" s="49"/>
      <c r="FQ88" s="49"/>
      <c r="FR88" s="49"/>
      <c r="FS88" s="49"/>
      <c r="FT88" s="49"/>
      <c r="FU88" s="49"/>
      <c r="FV88" s="49"/>
      <c r="FW88" s="49"/>
      <c r="FX88" s="49"/>
      <c r="FY88" s="49"/>
      <c r="FZ88" s="49"/>
      <c r="GA88" s="49"/>
      <c r="GB88" s="49"/>
      <c r="GC88" s="49"/>
      <c r="GD88" s="49"/>
      <c r="GE88" s="49"/>
      <c r="GF88" s="49"/>
      <c r="GG88" s="49"/>
      <c r="GH88" s="49"/>
      <c r="GI88" s="49"/>
      <c r="GJ88" s="49"/>
      <c r="GK88" s="49"/>
      <c r="GL88" s="49"/>
      <c r="GM88" s="49"/>
      <c r="GN88" s="49"/>
      <c r="GO88" s="49"/>
      <c r="GP88" s="49"/>
      <c r="GQ88" s="49"/>
      <c r="GR88" s="49"/>
      <c r="GS88" s="49"/>
      <c r="GT88" s="49"/>
      <c r="GU88" s="49"/>
      <c r="GV88" s="49"/>
      <c r="GW88" s="49"/>
      <c r="GX88" s="49"/>
      <c r="GY88" s="49"/>
      <c r="GZ88" s="49"/>
      <c r="HA88" s="49"/>
      <c r="HB88" s="49"/>
      <c r="HC88" s="49"/>
      <c r="HD88" s="49"/>
      <c r="HE88" s="49"/>
      <c r="HF88" s="49"/>
      <c r="HG88" s="49"/>
      <c r="HH88" s="49"/>
      <c r="HI88" s="49"/>
      <c r="HJ88" s="49"/>
      <c r="HK88" s="49"/>
      <c r="HL88" s="49"/>
      <c r="HM88" s="49"/>
      <c r="HN88" s="49"/>
      <c r="HO88" s="49"/>
      <c r="HP88" s="49"/>
      <c r="HQ88" s="49"/>
      <c r="HR88" s="49"/>
      <c r="HS88" s="49"/>
    </row>
    <row r="89" spans="1:227" s="15" customFormat="1" ht="12.75" thickBot="1">
      <c r="A89" s="74"/>
      <c r="B89" s="86"/>
      <c r="C89" s="49"/>
      <c r="D89" s="49"/>
      <c r="E89" s="49"/>
      <c r="F89" s="49"/>
      <c r="G89" s="49"/>
      <c r="H89" s="240"/>
      <c r="I89" s="476"/>
      <c r="J89" s="476"/>
      <c r="K89" s="476"/>
      <c r="L89" s="242"/>
      <c r="M89" s="103"/>
      <c r="N89" s="31"/>
      <c r="O89" s="31"/>
      <c r="P89" s="111"/>
      <c r="Q89" s="142"/>
      <c r="R89" s="43"/>
      <c r="S89" s="43"/>
      <c r="T89" s="111"/>
      <c r="U89" s="142"/>
      <c r="V89" s="43"/>
      <c r="W89" s="43"/>
      <c r="X89" s="111"/>
      <c r="Y89" s="142"/>
      <c r="Z89" s="43"/>
      <c r="AA89" s="43"/>
      <c r="AB89" s="111"/>
      <c r="AC89" s="142"/>
      <c r="AD89" s="43"/>
      <c r="AE89" s="43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  <c r="BC89" s="111"/>
      <c r="BD89" s="111"/>
      <c r="BE89" s="111"/>
      <c r="BF89" s="111"/>
      <c r="BG89" s="111"/>
      <c r="BH89" s="111"/>
      <c r="BI89" s="111"/>
      <c r="BJ89" s="111"/>
      <c r="BK89" s="111"/>
      <c r="BL89" s="111"/>
      <c r="BM89" s="111"/>
      <c r="BN89" s="111"/>
      <c r="BO89" s="111"/>
      <c r="BP89" s="111"/>
      <c r="BQ89" s="111"/>
      <c r="BR89" s="111"/>
      <c r="BS89" s="111"/>
      <c r="BT89" s="111"/>
      <c r="BU89" s="111"/>
      <c r="BV89" s="111"/>
      <c r="BW89" s="111"/>
      <c r="BX89" s="111"/>
      <c r="BY89" s="111"/>
      <c r="BZ89" s="111"/>
      <c r="CA89" s="111"/>
      <c r="CB89" s="111"/>
      <c r="CC89" s="111"/>
      <c r="CD89" s="111"/>
      <c r="CE89" s="111"/>
      <c r="CF89" s="111"/>
      <c r="CG89" s="111"/>
      <c r="CH89" s="111"/>
      <c r="CI89" s="111"/>
      <c r="CJ89" s="111"/>
      <c r="CK89" s="111"/>
      <c r="CL89" s="111"/>
      <c r="CM89" s="111"/>
      <c r="CN89" s="111"/>
      <c r="CO89" s="111"/>
      <c r="CP89" s="111"/>
      <c r="CQ89" s="111"/>
      <c r="CR89" s="111"/>
      <c r="CS89" s="111"/>
      <c r="CT89" s="111"/>
      <c r="CU89" s="111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/>
      <c r="FJ89" s="49"/>
      <c r="FK89" s="49"/>
      <c r="FL89" s="49"/>
      <c r="FM89" s="49"/>
      <c r="FN89" s="49"/>
      <c r="FO89" s="49"/>
      <c r="FP89" s="49"/>
      <c r="FQ89" s="49"/>
      <c r="FR89" s="49"/>
      <c r="FS89" s="49"/>
      <c r="FT89" s="49"/>
      <c r="FU89" s="49"/>
      <c r="FV89" s="49"/>
      <c r="FW89" s="49"/>
      <c r="FX89" s="49"/>
      <c r="FY89" s="49"/>
      <c r="FZ89" s="49"/>
      <c r="GA89" s="49"/>
      <c r="GB89" s="49"/>
      <c r="GC89" s="49"/>
      <c r="GD89" s="49"/>
      <c r="GE89" s="49"/>
      <c r="GF89" s="49"/>
      <c r="GG89" s="49"/>
      <c r="GH89" s="49"/>
      <c r="GI89" s="49"/>
      <c r="GJ89" s="49"/>
      <c r="GK89" s="49"/>
      <c r="GL89" s="49"/>
      <c r="GM89" s="49"/>
      <c r="GN89" s="49"/>
      <c r="GO89" s="49"/>
      <c r="GP89" s="49"/>
      <c r="GQ89" s="49"/>
      <c r="GR89" s="49"/>
      <c r="GS89" s="49"/>
      <c r="GT89" s="49"/>
      <c r="GU89" s="49"/>
      <c r="GV89" s="49"/>
      <c r="GW89" s="49"/>
      <c r="GX89" s="49"/>
      <c r="GY89" s="49"/>
      <c r="GZ89" s="49"/>
      <c r="HA89" s="49"/>
      <c r="HB89" s="49"/>
      <c r="HC89" s="49"/>
      <c r="HD89" s="49"/>
      <c r="HE89" s="49"/>
      <c r="HF89" s="49"/>
      <c r="HG89" s="49"/>
      <c r="HH89" s="49"/>
      <c r="HI89" s="49"/>
      <c r="HJ89" s="49"/>
      <c r="HK89" s="49"/>
      <c r="HL89" s="49"/>
      <c r="HM89" s="49"/>
      <c r="HN89" s="49"/>
      <c r="HO89" s="49"/>
      <c r="HP89" s="49"/>
      <c r="HQ89" s="49"/>
      <c r="HR89" s="49"/>
      <c r="HS89" s="49"/>
    </row>
    <row r="90" spans="1:227" s="15" customFormat="1" ht="12.75" thickTop="1">
      <c r="A90" s="225"/>
      <c r="B90" s="135" t="s">
        <v>143</v>
      </c>
      <c r="C90" s="82"/>
      <c r="D90" s="82"/>
      <c r="E90" s="82"/>
      <c r="F90" s="82"/>
      <c r="G90" s="82"/>
      <c r="H90" s="484"/>
      <c r="I90" s="483"/>
      <c r="J90" s="483"/>
      <c r="K90" s="483"/>
      <c r="L90" s="389"/>
      <c r="M90" s="103"/>
      <c r="N90" s="31"/>
      <c r="O90" s="31"/>
      <c r="P90" s="111"/>
      <c r="Q90" s="142"/>
      <c r="R90" s="43"/>
      <c r="S90" s="43"/>
      <c r="T90" s="111"/>
      <c r="U90" s="142"/>
      <c r="V90" s="43"/>
      <c r="W90" s="43"/>
      <c r="X90" s="111"/>
      <c r="Y90" s="142"/>
      <c r="Z90" s="43"/>
      <c r="AA90" s="43"/>
      <c r="AB90" s="111"/>
      <c r="AC90" s="142"/>
      <c r="AD90" s="43"/>
      <c r="AE90" s="43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/>
      <c r="BD90" s="111"/>
      <c r="BE90" s="111"/>
      <c r="BF90" s="111"/>
      <c r="BG90" s="111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11"/>
      <c r="BS90" s="111"/>
      <c r="BT90" s="111"/>
      <c r="BU90" s="111"/>
      <c r="BV90" s="111"/>
      <c r="BW90" s="111"/>
      <c r="BX90" s="111"/>
      <c r="BY90" s="111"/>
      <c r="BZ90" s="111"/>
      <c r="CA90" s="111"/>
      <c r="CB90" s="111"/>
      <c r="CC90" s="111"/>
      <c r="CD90" s="111"/>
      <c r="CE90" s="111"/>
      <c r="CF90" s="111"/>
      <c r="CG90" s="111"/>
      <c r="CH90" s="111"/>
      <c r="CI90" s="111"/>
      <c r="CJ90" s="111"/>
      <c r="CK90" s="111"/>
      <c r="CL90" s="111"/>
      <c r="CM90" s="111"/>
      <c r="CN90" s="111"/>
      <c r="CO90" s="111"/>
      <c r="CP90" s="111"/>
      <c r="CQ90" s="111"/>
      <c r="CR90" s="111"/>
      <c r="CS90" s="111"/>
      <c r="CT90" s="111"/>
      <c r="CU90" s="111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/>
      <c r="FJ90" s="49"/>
      <c r="FK90" s="49"/>
      <c r="FL90" s="49"/>
      <c r="FM90" s="49"/>
      <c r="FN90" s="49"/>
      <c r="FO90" s="49"/>
      <c r="FP90" s="49"/>
      <c r="FQ90" s="49"/>
      <c r="FR90" s="49"/>
      <c r="FS90" s="49"/>
      <c r="FT90" s="49"/>
      <c r="FU90" s="49"/>
      <c r="FV90" s="49"/>
      <c r="FW90" s="49"/>
      <c r="FX90" s="49"/>
      <c r="FY90" s="49"/>
      <c r="FZ90" s="49"/>
      <c r="GA90" s="49"/>
      <c r="GB90" s="49"/>
      <c r="GC90" s="49"/>
      <c r="GD90" s="49"/>
      <c r="GE90" s="49"/>
      <c r="GF90" s="49"/>
      <c r="GG90" s="49"/>
      <c r="GH90" s="49"/>
      <c r="GI90" s="49"/>
      <c r="GJ90" s="49"/>
      <c r="GK90" s="49"/>
      <c r="GL90" s="49"/>
      <c r="GM90" s="49"/>
      <c r="GN90" s="49"/>
      <c r="GO90" s="49"/>
      <c r="GP90" s="49"/>
      <c r="GQ90" s="49"/>
      <c r="GR90" s="49"/>
      <c r="GS90" s="49"/>
      <c r="GT90" s="49"/>
      <c r="GU90" s="49"/>
      <c r="GV90" s="49"/>
      <c r="GW90" s="49"/>
      <c r="GX90" s="49"/>
      <c r="GY90" s="49"/>
      <c r="GZ90" s="49"/>
      <c r="HA90" s="49"/>
      <c r="HB90" s="49"/>
      <c r="HC90" s="49"/>
      <c r="HD90" s="49"/>
      <c r="HE90" s="49"/>
      <c r="HF90" s="49"/>
      <c r="HG90" s="49"/>
      <c r="HH90" s="49"/>
      <c r="HI90" s="49"/>
      <c r="HJ90" s="49"/>
      <c r="HK90" s="49"/>
      <c r="HL90" s="49"/>
      <c r="HM90" s="49"/>
      <c r="HN90" s="49"/>
      <c r="HO90" s="49"/>
      <c r="HP90" s="49"/>
      <c r="HQ90" s="49"/>
      <c r="HR90" s="49"/>
      <c r="HS90" s="49"/>
    </row>
    <row r="91" spans="1:227" s="15" customFormat="1" ht="12">
      <c r="A91" s="74"/>
      <c r="C91" s="7"/>
      <c r="D91" s="7"/>
      <c r="E91" s="7"/>
      <c r="F91" s="7"/>
      <c r="H91" s="240"/>
      <c r="I91" s="476"/>
      <c r="J91" s="476"/>
      <c r="K91" s="476"/>
      <c r="L91" s="242"/>
      <c r="M91" s="103"/>
      <c r="N91" s="31"/>
      <c r="O91" s="31"/>
      <c r="P91" s="111"/>
      <c r="Q91" s="142"/>
      <c r="R91" s="43"/>
      <c r="S91" s="43"/>
      <c r="T91" s="111"/>
      <c r="U91" s="142"/>
      <c r="V91" s="43"/>
      <c r="W91" s="43"/>
      <c r="X91" s="111"/>
      <c r="Y91" s="142"/>
      <c r="Z91" s="43"/>
      <c r="AA91" s="43"/>
      <c r="AB91" s="111"/>
      <c r="AC91" s="142"/>
      <c r="AD91" s="43"/>
      <c r="AE91" s="43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  <c r="BE91" s="111"/>
      <c r="BF91" s="111"/>
      <c r="BG91" s="111"/>
      <c r="BH91" s="111"/>
      <c r="BI91" s="111"/>
      <c r="BJ91" s="111"/>
      <c r="BK91" s="111"/>
      <c r="BL91" s="111"/>
      <c r="BM91" s="111"/>
      <c r="BN91" s="111"/>
      <c r="BO91" s="111"/>
      <c r="BP91" s="111"/>
      <c r="BQ91" s="111"/>
      <c r="BR91" s="111"/>
      <c r="BS91" s="111"/>
      <c r="BT91" s="111"/>
      <c r="BU91" s="111"/>
      <c r="BV91" s="111"/>
      <c r="BW91" s="111"/>
      <c r="BX91" s="111"/>
      <c r="BY91" s="111"/>
      <c r="BZ91" s="111"/>
      <c r="CA91" s="111"/>
      <c r="CB91" s="111"/>
      <c r="CC91" s="111"/>
      <c r="CD91" s="111"/>
      <c r="CE91" s="111"/>
      <c r="CF91" s="111"/>
      <c r="CG91" s="111"/>
      <c r="CH91" s="111"/>
      <c r="CI91" s="111"/>
      <c r="CJ91" s="111"/>
      <c r="CK91" s="111"/>
      <c r="CL91" s="111"/>
      <c r="CM91" s="111"/>
      <c r="CN91" s="111"/>
      <c r="CO91" s="111"/>
      <c r="CP91" s="111"/>
      <c r="CQ91" s="111"/>
      <c r="CR91" s="111"/>
      <c r="CS91" s="111"/>
      <c r="CT91" s="111"/>
      <c r="CU91" s="111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  <c r="FI91" s="49"/>
      <c r="FJ91" s="49"/>
      <c r="FK91" s="49"/>
      <c r="FL91" s="49"/>
      <c r="FM91" s="49"/>
      <c r="FN91" s="49"/>
      <c r="FO91" s="49"/>
      <c r="FP91" s="49"/>
      <c r="FQ91" s="49"/>
      <c r="FR91" s="49"/>
      <c r="FS91" s="49"/>
      <c r="FT91" s="49"/>
      <c r="FU91" s="49"/>
      <c r="FV91" s="49"/>
      <c r="FW91" s="49"/>
      <c r="FX91" s="49"/>
      <c r="FY91" s="49"/>
      <c r="FZ91" s="49"/>
      <c r="GA91" s="49"/>
      <c r="GB91" s="49"/>
      <c r="GC91" s="49"/>
      <c r="GD91" s="49"/>
      <c r="GE91" s="49"/>
      <c r="GF91" s="49"/>
      <c r="GG91" s="49"/>
      <c r="GH91" s="49"/>
      <c r="GI91" s="49"/>
      <c r="GJ91" s="49"/>
      <c r="GK91" s="49"/>
      <c r="GL91" s="49"/>
      <c r="GM91" s="49"/>
      <c r="GN91" s="49"/>
      <c r="GO91" s="49"/>
      <c r="GP91" s="49"/>
      <c r="GQ91" s="49"/>
      <c r="GR91" s="49"/>
      <c r="GS91" s="49"/>
      <c r="GT91" s="49"/>
      <c r="GU91" s="49"/>
      <c r="GV91" s="49"/>
      <c r="GW91" s="49"/>
      <c r="GX91" s="49"/>
      <c r="GY91" s="49"/>
      <c r="GZ91" s="49"/>
      <c r="HA91" s="49"/>
      <c r="HB91" s="49"/>
      <c r="HC91" s="49"/>
      <c r="HD91" s="49"/>
      <c r="HE91" s="49"/>
      <c r="HF91" s="49"/>
      <c r="HG91" s="49"/>
      <c r="HH91" s="49"/>
      <c r="HI91" s="49"/>
      <c r="HJ91" s="49"/>
      <c r="HK91" s="49"/>
      <c r="HL91" s="49"/>
      <c r="HM91" s="49"/>
      <c r="HN91" s="49"/>
      <c r="HO91" s="49"/>
      <c r="HP91" s="49"/>
      <c r="HQ91" s="49"/>
      <c r="HR91" s="49"/>
      <c r="HS91" s="49"/>
    </row>
    <row r="92" spans="1:227" s="15" customFormat="1" ht="12">
      <c r="A92" s="74">
        <v>4</v>
      </c>
      <c r="B92" s="21" t="s">
        <v>107</v>
      </c>
      <c r="C92" s="21"/>
      <c r="D92" s="21"/>
      <c r="E92" s="21"/>
      <c r="F92" s="21"/>
      <c r="H92" s="240"/>
      <c r="I92" s="476"/>
      <c r="J92" s="476"/>
      <c r="K92" s="476"/>
      <c r="L92" s="242"/>
      <c r="M92" s="103"/>
      <c r="N92" s="31"/>
      <c r="O92" s="31"/>
      <c r="P92" s="49"/>
      <c r="Q92" s="49"/>
      <c r="R92" s="31"/>
      <c r="S92" s="105"/>
      <c r="T92" s="111"/>
      <c r="U92" s="111"/>
      <c r="V92" s="43"/>
      <c r="W92" s="207"/>
      <c r="X92" s="111"/>
      <c r="Y92" s="111"/>
      <c r="Z92" s="43"/>
      <c r="AA92" s="207"/>
      <c r="AB92" s="111"/>
      <c r="AC92" s="111"/>
      <c r="AD92" s="43"/>
      <c r="AE92" s="207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11"/>
      <c r="BX92" s="111"/>
      <c r="BY92" s="111"/>
      <c r="BZ92" s="111"/>
      <c r="CA92" s="111"/>
      <c r="CB92" s="111"/>
      <c r="CC92" s="111"/>
      <c r="CD92" s="111"/>
      <c r="CE92" s="111"/>
      <c r="CF92" s="111"/>
      <c r="CG92" s="111"/>
      <c r="CH92" s="111"/>
      <c r="CI92" s="111"/>
      <c r="CJ92" s="111"/>
      <c r="CK92" s="111"/>
      <c r="CL92" s="111"/>
      <c r="CM92" s="111"/>
      <c r="CN92" s="111"/>
      <c r="CO92" s="111"/>
      <c r="CP92" s="111"/>
      <c r="CQ92" s="111"/>
      <c r="CR92" s="111"/>
      <c r="CS92" s="111"/>
      <c r="CT92" s="111"/>
      <c r="CU92" s="111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9"/>
      <c r="FH92" s="49"/>
      <c r="FI92" s="49"/>
      <c r="FJ92" s="49"/>
      <c r="FK92" s="49"/>
      <c r="FL92" s="49"/>
      <c r="FM92" s="49"/>
      <c r="FN92" s="49"/>
      <c r="FO92" s="49"/>
      <c r="FP92" s="49"/>
      <c r="FQ92" s="49"/>
      <c r="FR92" s="49"/>
      <c r="FS92" s="49"/>
      <c r="FT92" s="49"/>
      <c r="FU92" s="49"/>
      <c r="FV92" s="49"/>
      <c r="FW92" s="49"/>
      <c r="FX92" s="49"/>
      <c r="FY92" s="49"/>
      <c r="FZ92" s="49"/>
      <c r="GA92" s="49"/>
      <c r="GB92" s="49"/>
      <c r="GC92" s="49"/>
      <c r="GD92" s="49"/>
      <c r="GE92" s="49"/>
      <c r="GF92" s="49"/>
      <c r="GG92" s="49"/>
      <c r="GH92" s="49"/>
      <c r="GI92" s="49"/>
      <c r="GJ92" s="49"/>
      <c r="GK92" s="49"/>
      <c r="GL92" s="49"/>
      <c r="GM92" s="49"/>
      <c r="GN92" s="49"/>
      <c r="GO92" s="49"/>
      <c r="GP92" s="49"/>
      <c r="GQ92" s="49"/>
      <c r="GR92" s="49"/>
      <c r="GS92" s="49"/>
      <c r="GT92" s="49"/>
      <c r="GU92" s="49"/>
      <c r="GV92" s="49"/>
      <c r="GW92" s="49"/>
      <c r="GX92" s="49"/>
      <c r="GY92" s="49"/>
      <c r="GZ92" s="49"/>
      <c r="HA92" s="49"/>
      <c r="HB92" s="49"/>
      <c r="HC92" s="49"/>
      <c r="HD92" s="49"/>
      <c r="HE92" s="49"/>
      <c r="HF92" s="49"/>
      <c r="HG92" s="49"/>
      <c r="HH92" s="49"/>
      <c r="HI92" s="49"/>
      <c r="HJ92" s="49"/>
      <c r="HK92" s="49"/>
      <c r="HL92" s="49"/>
      <c r="HM92" s="49"/>
      <c r="HN92" s="49"/>
      <c r="HO92" s="49"/>
      <c r="HP92" s="49"/>
      <c r="HQ92" s="49"/>
      <c r="HR92" s="49"/>
      <c r="HS92" s="49"/>
    </row>
    <row r="93" spans="1:227" s="15" customFormat="1" ht="12">
      <c r="A93" s="74" t="s">
        <v>52</v>
      </c>
      <c r="B93" s="86" t="s">
        <v>188</v>
      </c>
      <c r="C93" s="86"/>
      <c r="H93" s="241"/>
      <c r="I93" s="242"/>
      <c r="J93" s="242"/>
      <c r="K93" s="242"/>
      <c r="L93" s="242"/>
      <c r="M93" s="103"/>
      <c r="N93" s="31"/>
      <c r="O93" s="31"/>
      <c r="P93" s="49"/>
      <c r="Q93" s="49"/>
      <c r="R93" s="31"/>
      <c r="S93" s="105"/>
      <c r="T93" s="111"/>
      <c r="U93" s="111"/>
      <c r="V93" s="43"/>
      <c r="W93" s="207"/>
      <c r="X93" s="111"/>
      <c r="Y93" s="111"/>
      <c r="Z93" s="43"/>
      <c r="AA93" s="207"/>
      <c r="AB93" s="111"/>
      <c r="AC93" s="111"/>
      <c r="AD93" s="43"/>
      <c r="AE93" s="207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AY93" s="111"/>
      <c r="AZ93" s="111"/>
      <c r="BA93" s="111"/>
      <c r="BB93" s="111"/>
      <c r="BC93" s="111"/>
      <c r="BD93" s="111"/>
      <c r="BE93" s="111"/>
      <c r="BF93" s="111"/>
      <c r="BG93" s="111"/>
      <c r="BH93" s="111"/>
      <c r="BI93" s="111"/>
      <c r="BJ93" s="111"/>
      <c r="BK93" s="111"/>
      <c r="BL93" s="111"/>
      <c r="BM93" s="111"/>
      <c r="BN93" s="111"/>
      <c r="BO93" s="111"/>
      <c r="BP93" s="111"/>
      <c r="BQ93" s="111"/>
      <c r="BR93" s="111"/>
      <c r="BS93" s="111"/>
      <c r="BT93" s="111"/>
      <c r="BU93" s="111"/>
      <c r="BV93" s="111"/>
      <c r="BW93" s="111"/>
      <c r="BX93" s="111"/>
      <c r="BY93" s="111"/>
      <c r="BZ93" s="111"/>
      <c r="CA93" s="111"/>
      <c r="CB93" s="111"/>
      <c r="CC93" s="111"/>
      <c r="CD93" s="111"/>
      <c r="CE93" s="111"/>
      <c r="CF93" s="111"/>
      <c r="CG93" s="111"/>
      <c r="CH93" s="111"/>
      <c r="CI93" s="111"/>
      <c r="CJ93" s="111"/>
      <c r="CK93" s="111"/>
      <c r="CL93" s="111"/>
      <c r="CM93" s="111"/>
      <c r="CN93" s="111"/>
      <c r="CO93" s="111"/>
      <c r="CP93" s="111"/>
      <c r="CQ93" s="111"/>
      <c r="CR93" s="111"/>
      <c r="CS93" s="111"/>
      <c r="CT93" s="111"/>
      <c r="CU93" s="111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  <c r="FI93" s="49"/>
      <c r="FJ93" s="49"/>
      <c r="FK93" s="49"/>
      <c r="FL93" s="49"/>
      <c r="FM93" s="49"/>
      <c r="FN93" s="49"/>
      <c r="FO93" s="49"/>
      <c r="FP93" s="49"/>
      <c r="FQ93" s="49"/>
      <c r="FR93" s="49"/>
      <c r="FS93" s="49"/>
      <c r="FT93" s="49"/>
      <c r="FU93" s="49"/>
      <c r="FV93" s="49"/>
      <c r="FW93" s="49"/>
      <c r="FX93" s="49"/>
      <c r="FY93" s="49"/>
      <c r="FZ93" s="49"/>
      <c r="GA93" s="49"/>
      <c r="GB93" s="49"/>
      <c r="GC93" s="49"/>
      <c r="GD93" s="49"/>
      <c r="GE93" s="49"/>
      <c r="GF93" s="49"/>
      <c r="GG93" s="49"/>
      <c r="GH93" s="49"/>
      <c r="GI93" s="49"/>
      <c r="GJ93" s="49"/>
      <c r="GK93" s="49"/>
      <c r="GL93" s="49"/>
      <c r="GM93" s="49"/>
      <c r="GN93" s="49"/>
      <c r="GO93" s="49"/>
      <c r="GP93" s="49"/>
      <c r="GQ93" s="49"/>
      <c r="GR93" s="49"/>
      <c r="GS93" s="49"/>
      <c r="GT93" s="49"/>
      <c r="GU93" s="49"/>
      <c r="GV93" s="49"/>
      <c r="GW93" s="49"/>
      <c r="GX93" s="49"/>
      <c r="GY93" s="49"/>
      <c r="GZ93" s="49"/>
      <c r="HA93" s="49"/>
      <c r="HB93" s="49"/>
      <c r="HC93" s="49"/>
      <c r="HD93" s="49"/>
      <c r="HE93" s="49"/>
      <c r="HF93" s="49"/>
      <c r="HG93" s="49"/>
      <c r="HH93" s="49"/>
      <c r="HI93" s="49"/>
      <c r="HJ93" s="49"/>
      <c r="HK93" s="49"/>
      <c r="HL93" s="49"/>
      <c r="HM93" s="49"/>
      <c r="HN93" s="49"/>
      <c r="HO93" s="49"/>
      <c r="HP93" s="49"/>
      <c r="HQ93" s="49"/>
      <c r="HR93" s="49"/>
      <c r="HS93" s="49"/>
    </row>
    <row r="94" spans="1:227" s="15" customFormat="1" ht="12">
      <c r="A94" s="74" t="s">
        <v>234</v>
      </c>
      <c r="C94" s="15" t="s">
        <v>30</v>
      </c>
      <c r="H94" s="244" t="s">
        <v>436</v>
      </c>
      <c r="I94" s="476"/>
      <c r="J94" s="476"/>
      <c r="K94" s="476"/>
      <c r="L94" s="242"/>
      <c r="M94" s="103"/>
      <c r="N94" s="31"/>
      <c r="O94" s="31"/>
      <c r="P94" s="49"/>
      <c r="Q94" s="49"/>
      <c r="R94" s="226"/>
      <c r="S94" s="105"/>
      <c r="T94" s="111"/>
      <c r="U94" s="111"/>
      <c r="V94" s="227"/>
      <c r="W94" s="207"/>
      <c r="X94" s="111"/>
      <c r="Y94" s="111"/>
      <c r="Z94" s="227"/>
      <c r="AA94" s="207"/>
      <c r="AB94" s="111"/>
      <c r="AC94" s="111"/>
      <c r="AD94" s="227"/>
      <c r="AE94" s="207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1"/>
      <c r="BD94" s="111"/>
      <c r="BE94" s="111"/>
      <c r="BF94" s="111"/>
      <c r="BG94" s="111"/>
      <c r="BH94" s="111"/>
      <c r="BI94" s="111"/>
      <c r="BJ94" s="111"/>
      <c r="BK94" s="111"/>
      <c r="BL94" s="111"/>
      <c r="BM94" s="111"/>
      <c r="BN94" s="111"/>
      <c r="BO94" s="111"/>
      <c r="BP94" s="111"/>
      <c r="BQ94" s="111"/>
      <c r="BR94" s="111"/>
      <c r="BS94" s="111"/>
      <c r="BT94" s="111"/>
      <c r="BU94" s="111"/>
      <c r="BV94" s="111"/>
      <c r="BW94" s="111"/>
      <c r="BX94" s="111"/>
      <c r="BY94" s="111"/>
      <c r="BZ94" s="111"/>
      <c r="CA94" s="111"/>
      <c r="CB94" s="111"/>
      <c r="CC94" s="111"/>
      <c r="CD94" s="111"/>
      <c r="CE94" s="111"/>
      <c r="CF94" s="111"/>
      <c r="CG94" s="111"/>
      <c r="CH94" s="111"/>
      <c r="CI94" s="111"/>
      <c r="CJ94" s="111"/>
      <c r="CK94" s="111"/>
      <c r="CL94" s="111"/>
      <c r="CM94" s="111"/>
      <c r="CN94" s="111"/>
      <c r="CO94" s="111"/>
      <c r="CP94" s="111"/>
      <c r="CQ94" s="111"/>
      <c r="CR94" s="111"/>
      <c r="CS94" s="111"/>
      <c r="CT94" s="111"/>
      <c r="CU94" s="111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49"/>
      <c r="FK94" s="49"/>
      <c r="FL94" s="49"/>
      <c r="FM94" s="49"/>
      <c r="FN94" s="49"/>
      <c r="FO94" s="49"/>
      <c r="FP94" s="49"/>
      <c r="FQ94" s="49"/>
      <c r="FR94" s="49"/>
      <c r="FS94" s="49"/>
      <c r="FT94" s="49"/>
      <c r="FU94" s="49"/>
      <c r="FV94" s="49"/>
      <c r="FW94" s="49"/>
      <c r="FX94" s="49"/>
      <c r="FY94" s="49"/>
      <c r="FZ94" s="49"/>
      <c r="GA94" s="49"/>
      <c r="GB94" s="49"/>
      <c r="GC94" s="49"/>
      <c r="GD94" s="49"/>
      <c r="GE94" s="49"/>
      <c r="GF94" s="49"/>
      <c r="GG94" s="49"/>
      <c r="GH94" s="49"/>
      <c r="GI94" s="49"/>
      <c r="GJ94" s="49"/>
      <c r="GK94" s="49"/>
      <c r="GL94" s="49"/>
      <c r="GM94" s="49"/>
      <c r="GN94" s="49"/>
      <c r="GO94" s="49"/>
      <c r="GP94" s="49"/>
      <c r="GQ94" s="49"/>
      <c r="GR94" s="49"/>
      <c r="GS94" s="49"/>
      <c r="GT94" s="49"/>
      <c r="GU94" s="49"/>
      <c r="GV94" s="49"/>
      <c r="GW94" s="49"/>
      <c r="GX94" s="49"/>
      <c r="GY94" s="49"/>
      <c r="GZ94" s="49"/>
      <c r="HA94" s="49"/>
      <c r="HB94" s="49"/>
      <c r="HC94" s="49"/>
      <c r="HD94" s="49"/>
      <c r="HE94" s="49"/>
      <c r="HF94" s="49"/>
      <c r="HG94" s="49"/>
      <c r="HH94" s="49"/>
      <c r="HI94" s="49"/>
      <c r="HJ94" s="49"/>
      <c r="HK94" s="49"/>
      <c r="HL94" s="49"/>
      <c r="HM94" s="49"/>
      <c r="HN94" s="49"/>
      <c r="HO94" s="49"/>
      <c r="HP94" s="49"/>
      <c r="HQ94" s="49"/>
      <c r="HR94" s="49"/>
      <c r="HS94" s="49"/>
    </row>
    <row r="95" spans="1:227" s="15" customFormat="1" ht="12">
      <c r="A95" s="74"/>
      <c r="C95" s="15" t="s">
        <v>10</v>
      </c>
      <c r="H95" s="240" t="s">
        <v>429</v>
      </c>
      <c r="I95" s="476"/>
      <c r="J95" s="476"/>
      <c r="K95" s="476"/>
      <c r="L95" s="242"/>
      <c r="M95" s="103"/>
      <c r="N95" s="31"/>
      <c r="O95" s="31"/>
      <c r="P95" s="49"/>
      <c r="Q95" s="49"/>
      <c r="R95" s="226"/>
      <c r="S95" s="105"/>
      <c r="T95" s="111"/>
      <c r="U95" s="111"/>
      <c r="V95" s="227"/>
      <c r="W95" s="207"/>
      <c r="X95" s="111"/>
      <c r="Y95" s="111"/>
      <c r="Z95" s="227"/>
      <c r="AA95" s="207"/>
      <c r="AB95" s="111"/>
      <c r="AC95" s="111"/>
      <c r="AD95" s="227"/>
      <c r="AE95" s="207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  <c r="BC95" s="111"/>
      <c r="BD95" s="111"/>
      <c r="BE95" s="111"/>
      <c r="BF95" s="111"/>
      <c r="BG95" s="111"/>
      <c r="BH95" s="111"/>
      <c r="BI95" s="111"/>
      <c r="BJ95" s="111"/>
      <c r="BK95" s="111"/>
      <c r="BL95" s="111"/>
      <c r="BM95" s="111"/>
      <c r="BN95" s="111"/>
      <c r="BO95" s="111"/>
      <c r="BP95" s="111"/>
      <c r="BQ95" s="111"/>
      <c r="BR95" s="111"/>
      <c r="BS95" s="111"/>
      <c r="BT95" s="111"/>
      <c r="BU95" s="111"/>
      <c r="BV95" s="111"/>
      <c r="BW95" s="111"/>
      <c r="BX95" s="111"/>
      <c r="BY95" s="111"/>
      <c r="BZ95" s="111"/>
      <c r="CA95" s="111"/>
      <c r="CB95" s="111"/>
      <c r="CC95" s="111"/>
      <c r="CD95" s="111"/>
      <c r="CE95" s="111"/>
      <c r="CF95" s="111"/>
      <c r="CG95" s="111"/>
      <c r="CH95" s="111"/>
      <c r="CI95" s="111"/>
      <c r="CJ95" s="111"/>
      <c r="CK95" s="111"/>
      <c r="CL95" s="111"/>
      <c r="CM95" s="111"/>
      <c r="CN95" s="111"/>
      <c r="CO95" s="111"/>
      <c r="CP95" s="111"/>
      <c r="CQ95" s="111"/>
      <c r="CR95" s="111"/>
      <c r="CS95" s="111"/>
      <c r="CT95" s="111"/>
      <c r="CU95" s="111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  <c r="FI95" s="49"/>
      <c r="FJ95" s="49"/>
      <c r="FK95" s="49"/>
      <c r="FL95" s="49"/>
      <c r="FM95" s="49"/>
      <c r="FN95" s="49"/>
      <c r="FO95" s="49"/>
      <c r="FP95" s="49"/>
      <c r="FQ95" s="49"/>
      <c r="FR95" s="49"/>
      <c r="FS95" s="49"/>
      <c r="FT95" s="49"/>
      <c r="FU95" s="49"/>
      <c r="FV95" s="49"/>
      <c r="FW95" s="49"/>
      <c r="FX95" s="49"/>
      <c r="FY95" s="49"/>
      <c r="FZ95" s="49"/>
      <c r="GA95" s="49"/>
      <c r="GB95" s="49"/>
      <c r="GC95" s="49"/>
      <c r="GD95" s="49"/>
      <c r="GE95" s="49"/>
      <c r="GF95" s="49"/>
      <c r="GG95" s="49"/>
      <c r="GH95" s="49"/>
      <c r="GI95" s="49"/>
      <c r="GJ95" s="49"/>
      <c r="GK95" s="49"/>
      <c r="GL95" s="49"/>
      <c r="GM95" s="49"/>
      <c r="GN95" s="49"/>
      <c r="GO95" s="49"/>
      <c r="GP95" s="49"/>
      <c r="GQ95" s="49"/>
      <c r="GR95" s="49"/>
      <c r="GS95" s="49"/>
      <c r="GT95" s="49"/>
      <c r="GU95" s="49"/>
      <c r="GV95" s="49"/>
      <c r="GW95" s="49"/>
      <c r="GX95" s="49"/>
      <c r="GY95" s="49"/>
      <c r="GZ95" s="49"/>
      <c r="HA95" s="49"/>
      <c r="HB95" s="49"/>
      <c r="HC95" s="49"/>
      <c r="HD95" s="49"/>
      <c r="HE95" s="49"/>
      <c r="HF95" s="49"/>
      <c r="HG95" s="49"/>
      <c r="HH95" s="49"/>
      <c r="HI95" s="49"/>
      <c r="HJ95" s="49"/>
      <c r="HK95" s="49"/>
      <c r="HL95" s="49"/>
      <c r="HM95" s="49"/>
      <c r="HN95" s="49"/>
      <c r="HO95" s="49"/>
      <c r="HP95" s="49"/>
      <c r="HQ95" s="49"/>
      <c r="HR95" s="49"/>
      <c r="HS95" s="49"/>
    </row>
    <row r="96" spans="1:227" s="15" customFormat="1" ht="60">
      <c r="A96" s="74" t="s">
        <v>235</v>
      </c>
      <c r="D96" s="15" t="s">
        <v>11</v>
      </c>
      <c r="H96" s="244" t="s">
        <v>440</v>
      </c>
      <c r="I96" s="476"/>
      <c r="J96" s="127" t="s">
        <v>502</v>
      </c>
      <c r="K96" s="476"/>
      <c r="L96" s="242"/>
      <c r="M96" s="103"/>
      <c r="N96" s="31"/>
      <c r="O96" s="31"/>
      <c r="P96" s="49"/>
      <c r="Q96" s="49"/>
      <c r="R96" s="226"/>
      <c r="S96" s="105"/>
      <c r="T96" s="111"/>
      <c r="U96" s="111"/>
      <c r="V96" s="227"/>
      <c r="W96" s="207"/>
      <c r="X96" s="111"/>
      <c r="Y96" s="111"/>
      <c r="Z96" s="227"/>
      <c r="AA96" s="207"/>
      <c r="AB96" s="111"/>
      <c r="AC96" s="111"/>
      <c r="AD96" s="227"/>
      <c r="AE96" s="207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1"/>
      <c r="BD96" s="111"/>
      <c r="BE96" s="111"/>
      <c r="BF96" s="111"/>
      <c r="BG96" s="111"/>
      <c r="BH96" s="111"/>
      <c r="BI96" s="111"/>
      <c r="BJ96" s="111"/>
      <c r="BK96" s="111"/>
      <c r="BL96" s="111"/>
      <c r="BM96" s="111"/>
      <c r="BN96" s="111"/>
      <c r="BO96" s="111"/>
      <c r="BP96" s="111"/>
      <c r="BQ96" s="111"/>
      <c r="BR96" s="111"/>
      <c r="BS96" s="111"/>
      <c r="BT96" s="111"/>
      <c r="BU96" s="111"/>
      <c r="BV96" s="111"/>
      <c r="BW96" s="111"/>
      <c r="BX96" s="111"/>
      <c r="BY96" s="111"/>
      <c r="BZ96" s="111"/>
      <c r="CA96" s="111"/>
      <c r="CB96" s="111"/>
      <c r="CC96" s="111"/>
      <c r="CD96" s="111"/>
      <c r="CE96" s="111"/>
      <c r="CF96" s="111"/>
      <c r="CG96" s="111"/>
      <c r="CH96" s="111"/>
      <c r="CI96" s="111"/>
      <c r="CJ96" s="111"/>
      <c r="CK96" s="111"/>
      <c r="CL96" s="111"/>
      <c r="CM96" s="111"/>
      <c r="CN96" s="111"/>
      <c r="CO96" s="111"/>
      <c r="CP96" s="111"/>
      <c r="CQ96" s="111"/>
      <c r="CR96" s="111"/>
      <c r="CS96" s="111"/>
      <c r="CT96" s="111"/>
      <c r="CU96" s="111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49"/>
      <c r="FF96" s="49"/>
      <c r="FG96" s="49"/>
      <c r="FH96" s="49"/>
      <c r="FI96" s="49"/>
      <c r="FJ96" s="49"/>
      <c r="FK96" s="49"/>
      <c r="FL96" s="49"/>
      <c r="FM96" s="49"/>
      <c r="FN96" s="49"/>
      <c r="FO96" s="49"/>
      <c r="FP96" s="49"/>
      <c r="FQ96" s="49"/>
      <c r="FR96" s="49"/>
      <c r="FS96" s="49"/>
      <c r="FT96" s="49"/>
      <c r="FU96" s="49"/>
      <c r="FV96" s="49"/>
      <c r="FW96" s="49"/>
      <c r="FX96" s="49"/>
      <c r="FY96" s="49"/>
      <c r="FZ96" s="49"/>
      <c r="GA96" s="49"/>
      <c r="GB96" s="49"/>
      <c r="GC96" s="49"/>
      <c r="GD96" s="49"/>
      <c r="GE96" s="49"/>
      <c r="GF96" s="49"/>
      <c r="GG96" s="49"/>
      <c r="GH96" s="49"/>
      <c r="GI96" s="49"/>
      <c r="GJ96" s="49"/>
      <c r="GK96" s="49"/>
      <c r="GL96" s="49"/>
      <c r="GM96" s="49"/>
      <c r="GN96" s="49"/>
      <c r="GO96" s="49"/>
      <c r="GP96" s="49"/>
      <c r="GQ96" s="49"/>
      <c r="GR96" s="49"/>
      <c r="GS96" s="49"/>
      <c r="GT96" s="49"/>
      <c r="GU96" s="49"/>
      <c r="GV96" s="49"/>
      <c r="GW96" s="49"/>
      <c r="GX96" s="49"/>
      <c r="GY96" s="49"/>
      <c r="GZ96" s="49"/>
      <c r="HA96" s="49"/>
      <c r="HB96" s="49"/>
      <c r="HC96" s="49"/>
      <c r="HD96" s="49"/>
      <c r="HE96" s="49"/>
      <c r="HF96" s="49"/>
      <c r="HG96" s="49"/>
      <c r="HH96" s="49"/>
      <c r="HI96" s="49"/>
      <c r="HJ96" s="49"/>
      <c r="HK96" s="49"/>
      <c r="HL96" s="49"/>
      <c r="HM96" s="49"/>
      <c r="HN96" s="49"/>
      <c r="HO96" s="49"/>
      <c r="HP96" s="49"/>
      <c r="HQ96" s="49"/>
      <c r="HR96" s="49"/>
      <c r="HS96" s="49"/>
    </row>
    <row r="97" spans="1:227" s="15" customFormat="1" ht="12">
      <c r="A97" s="74" t="s">
        <v>236</v>
      </c>
      <c r="D97" s="15" t="s">
        <v>12</v>
      </c>
      <c r="H97" s="121" t="s">
        <v>437</v>
      </c>
      <c r="I97" s="476"/>
      <c r="J97" s="477"/>
      <c r="K97" s="476"/>
      <c r="L97" s="242"/>
      <c r="M97" s="103"/>
      <c r="N97" s="31"/>
      <c r="O97" s="31"/>
      <c r="P97" s="49"/>
      <c r="Q97" s="49"/>
      <c r="R97" s="104"/>
      <c r="S97" s="105"/>
      <c r="T97" s="111"/>
      <c r="U97" s="111"/>
      <c r="V97" s="206"/>
      <c r="W97" s="207"/>
      <c r="X97" s="111"/>
      <c r="Y97" s="111"/>
      <c r="Z97" s="206"/>
      <c r="AA97" s="207"/>
      <c r="AB97" s="111"/>
      <c r="AC97" s="111"/>
      <c r="AD97" s="206"/>
      <c r="AE97" s="207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AY97" s="111"/>
      <c r="AZ97" s="111"/>
      <c r="BA97" s="111"/>
      <c r="BB97" s="111"/>
      <c r="BC97" s="111"/>
      <c r="BD97" s="111"/>
      <c r="BE97" s="111"/>
      <c r="BF97" s="111"/>
      <c r="BG97" s="111"/>
      <c r="BH97" s="111"/>
      <c r="BI97" s="111"/>
      <c r="BJ97" s="111"/>
      <c r="BK97" s="111"/>
      <c r="BL97" s="111"/>
      <c r="BM97" s="111"/>
      <c r="BN97" s="111"/>
      <c r="BO97" s="111"/>
      <c r="BP97" s="111"/>
      <c r="BQ97" s="111"/>
      <c r="BR97" s="111"/>
      <c r="BS97" s="111"/>
      <c r="BT97" s="111"/>
      <c r="BU97" s="111"/>
      <c r="BV97" s="111"/>
      <c r="BW97" s="111"/>
      <c r="BX97" s="111"/>
      <c r="BY97" s="111"/>
      <c r="BZ97" s="111"/>
      <c r="CA97" s="111"/>
      <c r="CB97" s="111"/>
      <c r="CC97" s="111"/>
      <c r="CD97" s="111"/>
      <c r="CE97" s="111"/>
      <c r="CF97" s="111"/>
      <c r="CG97" s="111"/>
      <c r="CH97" s="111"/>
      <c r="CI97" s="111"/>
      <c r="CJ97" s="111"/>
      <c r="CK97" s="111"/>
      <c r="CL97" s="111"/>
      <c r="CM97" s="111"/>
      <c r="CN97" s="111"/>
      <c r="CO97" s="111"/>
      <c r="CP97" s="111"/>
      <c r="CQ97" s="111"/>
      <c r="CR97" s="111"/>
      <c r="CS97" s="111"/>
      <c r="CT97" s="111"/>
      <c r="CU97" s="111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  <c r="FI97" s="49"/>
      <c r="FJ97" s="49"/>
      <c r="FK97" s="49"/>
      <c r="FL97" s="49"/>
      <c r="FM97" s="49"/>
      <c r="FN97" s="49"/>
      <c r="FO97" s="49"/>
      <c r="FP97" s="49"/>
      <c r="FQ97" s="49"/>
      <c r="FR97" s="49"/>
      <c r="FS97" s="49"/>
      <c r="FT97" s="49"/>
      <c r="FU97" s="49"/>
      <c r="FV97" s="49"/>
      <c r="FW97" s="49"/>
      <c r="FX97" s="49"/>
      <c r="FY97" s="49"/>
      <c r="FZ97" s="49"/>
      <c r="GA97" s="49"/>
      <c r="GB97" s="49"/>
      <c r="GC97" s="49"/>
      <c r="GD97" s="49"/>
      <c r="GE97" s="49"/>
      <c r="GF97" s="49"/>
      <c r="GG97" s="49"/>
      <c r="GH97" s="49"/>
      <c r="GI97" s="49"/>
      <c r="GJ97" s="49"/>
      <c r="GK97" s="49"/>
      <c r="GL97" s="49"/>
      <c r="GM97" s="49"/>
      <c r="GN97" s="49"/>
      <c r="GO97" s="49"/>
      <c r="GP97" s="49"/>
      <c r="GQ97" s="49"/>
      <c r="GR97" s="49"/>
      <c r="GS97" s="49"/>
      <c r="GT97" s="49"/>
      <c r="GU97" s="49"/>
      <c r="GV97" s="49"/>
      <c r="GW97" s="49"/>
      <c r="GX97" s="49"/>
      <c r="GY97" s="49"/>
      <c r="GZ97" s="49"/>
      <c r="HA97" s="49"/>
      <c r="HB97" s="49"/>
      <c r="HC97" s="49"/>
      <c r="HD97" s="49"/>
      <c r="HE97" s="49"/>
      <c r="HF97" s="49"/>
      <c r="HG97" s="49"/>
      <c r="HH97" s="49"/>
      <c r="HI97" s="49"/>
      <c r="HJ97" s="49"/>
      <c r="HK97" s="49"/>
      <c r="HL97" s="49"/>
      <c r="HM97" s="49"/>
      <c r="HN97" s="49"/>
      <c r="HO97" s="49"/>
      <c r="HP97" s="49"/>
      <c r="HQ97" s="49"/>
      <c r="HR97" s="49"/>
      <c r="HS97" s="49"/>
    </row>
    <row r="98" spans="1:227" s="15" customFormat="1" ht="25.5" customHeight="1">
      <c r="A98" s="74" t="s">
        <v>237</v>
      </c>
      <c r="D98" s="15" t="s">
        <v>13</v>
      </c>
      <c r="H98" s="244"/>
      <c r="I98" s="476"/>
      <c r="J98" s="477"/>
      <c r="K98" s="476"/>
      <c r="L98" s="242"/>
      <c r="M98" s="103"/>
      <c r="N98" s="226"/>
      <c r="O98" s="31"/>
      <c r="P98" s="49"/>
      <c r="Q98" s="103"/>
      <c r="R98" s="31"/>
      <c r="S98" s="105"/>
      <c r="T98" s="111"/>
      <c r="U98" s="142"/>
      <c r="V98" s="43"/>
      <c r="W98" s="207"/>
      <c r="X98" s="111"/>
      <c r="Y98" s="142"/>
      <c r="Z98" s="43"/>
      <c r="AA98" s="207"/>
      <c r="AB98" s="111"/>
      <c r="AC98" s="142"/>
      <c r="AD98" s="43"/>
      <c r="AE98" s="207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  <c r="CC98" s="111"/>
      <c r="CD98" s="111"/>
      <c r="CE98" s="111"/>
      <c r="CF98" s="111"/>
      <c r="CG98" s="111"/>
      <c r="CH98" s="111"/>
      <c r="CI98" s="111"/>
      <c r="CJ98" s="111"/>
      <c r="CK98" s="111"/>
      <c r="CL98" s="111"/>
      <c r="CM98" s="111"/>
      <c r="CN98" s="111"/>
      <c r="CO98" s="111"/>
      <c r="CP98" s="111"/>
      <c r="CQ98" s="111"/>
      <c r="CR98" s="111"/>
      <c r="CS98" s="111"/>
      <c r="CT98" s="111"/>
      <c r="CU98" s="111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  <c r="FI98" s="49"/>
      <c r="FJ98" s="49"/>
      <c r="FK98" s="49"/>
      <c r="FL98" s="49"/>
      <c r="FM98" s="49"/>
      <c r="FN98" s="49"/>
      <c r="FO98" s="49"/>
      <c r="FP98" s="49"/>
      <c r="FQ98" s="49"/>
      <c r="FR98" s="49"/>
      <c r="FS98" s="49"/>
      <c r="FT98" s="49"/>
      <c r="FU98" s="49"/>
      <c r="FV98" s="49"/>
      <c r="FW98" s="49"/>
      <c r="FX98" s="49"/>
      <c r="FY98" s="49"/>
      <c r="FZ98" s="49"/>
      <c r="GA98" s="49"/>
      <c r="GB98" s="49"/>
      <c r="GC98" s="49"/>
      <c r="GD98" s="49"/>
      <c r="GE98" s="49"/>
      <c r="GF98" s="49"/>
      <c r="GG98" s="49"/>
      <c r="GH98" s="49"/>
      <c r="GI98" s="49"/>
      <c r="GJ98" s="49"/>
      <c r="GK98" s="49"/>
      <c r="GL98" s="49"/>
      <c r="GM98" s="49"/>
      <c r="GN98" s="49"/>
      <c r="GO98" s="49"/>
      <c r="GP98" s="49"/>
      <c r="GQ98" s="49"/>
      <c r="GR98" s="49"/>
      <c r="GS98" s="49"/>
      <c r="GT98" s="49"/>
      <c r="GU98" s="49"/>
      <c r="GV98" s="49"/>
      <c r="GW98" s="49"/>
      <c r="GX98" s="49"/>
      <c r="GY98" s="49"/>
      <c r="GZ98" s="49"/>
      <c r="HA98" s="49"/>
      <c r="HB98" s="49"/>
      <c r="HC98" s="49"/>
      <c r="HD98" s="49"/>
      <c r="HE98" s="49"/>
      <c r="HF98" s="49"/>
      <c r="HG98" s="49"/>
      <c r="HH98" s="49"/>
      <c r="HI98" s="49"/>
      <c r="HJ98" s="49"/>
      <c r="HK98" s="49"/>
      <c r="HL98" s="49"/>
      <c r="HM98" s="49"/>
      <c r="HN98" s="49"/>
      <c r="HO98" s="49"/>
      <c r="HP98" s="49"/>
      <c r="HQ98" s="49"/>
      <c r="HR98" s="49"/>
      <c r="HS98" s="49"/>
    </row>
    <row r="99" spans="1:227" s="15" customFormat="1" ht="12">
      <c r="A99" s="74" t="s">
        <v>238</v>
      </c>
      <c r="D99" s="15" t="s">
        <v>14</v>
      </c>
      <c r="H99" s="244" t="s">
        <v>438</v>
      </c>
      <c r="I99" s="476"/>
      <c r="J99" s="477"/>
      <c r="K99" s="476"/>
      <c r="L99" s="242"/>
      <c r="M99" s="103"/>
      <c r="N99" s="31"/>
      <c r="O99" s="31"/>
      <c r="P99" s="49"/>
      <c r="Q99" s="103"/>
      <c r="R99" s="105"/>
      <c r="S99" s="105"/>
      <c r="T99" s="111"/>
      <c r="U99" s="228"/>
      <c r="V99" s="207"/>
      <c r="W99" s="207"/>
      <c r="X99" s="111"/>
      <c r="Y99" s="228"/>
      <c r="Z99" s="207"/>
      <c r="AA99" s="207"/>
      <c r="AB99" s="111"/>
      <c r="AC99" s="228"/>
      <c r="AD99" s="207"/>
      <c r="AE99" s="207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  <c r="BF99" s="111"/>
      <c r="BG99" s="111"/>
      <c r="BH99" s="111"/>
      <c r="BI99" s="111"/>
      <c r="BJ99" s="111"/>
      <c r="BK99" s="111"/>
      <c r="BL99" s="111"/>
      <c r="BM99" s="111"/>
      <c r="BN99" s="111"/>
      <c r="BO99" s="111"/>
      <c r="BP99" s="111"/>
      <c r="BQ99" s="111"/>
      <c r="BR99" s="111"/>
      <c r="BS99" s="111"/>
      <c r="BT99" s="111"/>
      <c r="BU99" s="111"/>
      <c r="BV99" s="111"/>
      <c r="BW99" s="111"/>
      <c r="BX99" s="111"/>
      <c r="BY99" s="111"/>
      <c r="BZ99" s="111"/>
      <c r="CA99" s="111"/>
      <c r="CB99" s="111"/>
      <c r="CC99" s="111"/>
      <c r="CD99" s="111"/>
      <c r="CE99" s="111"/>
      <c r="CF99" s="111"/>
      <c r="CG99" s="111"/>
      <c r="CH99" s="111"/>
      <c r="CI99" s="111"/>
      <c r="CJ99" s="111"/>
      <c r="CK99" s="111"/>
      <c r="CL99" s="111"/>
      <c r="CM99" s="111"/>
      <c r="CN99" s="111"/>
      <c r="CO99" s="111"/>
      <c r="CP99" s="111"/>
      <c r="CQ99" s="111"/>
      <c r="CR99" s="111"/>
      <c r="CS99" s="111"/>
      <c r="CT99" s="111"/>
      <c r="CU99" s="111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  <c r="FI99" s="49"/>
      <c r="FJ99" s="49"/>
      <c r="FK99" s="49"/>
      <c r="FL99" s="49"/>
      <c r="FM99" s="49"/>
      <c r="FN99" s="49"/>
      <c r="FO99" s="49"/>
      <c r="FP99" s="49"/>
      <c r="FQ99" s="49"/>
      <c r="FR99" s="49"/>
      <c r="FS99" s="49"/>
      <c r="FT99" s="49"/>
      <c r="FU99" s="49"/>
      <c r="FV99" s="49"/>
      <c r="FW99" s="49"/>
      <c r="FX99" s="49"/>
      <c r="FY99" s="49"/>
      <c r="FZ99" s="49"/>
      <c r="GA99" s="49"/>
      <c r="GB99" s="49"/>
      <c r="GC99" s="49"/>
      <c r="GD99" s="49"/>
      <c r="GE99" s="49"/>
      <c r="GF99" s="49"/>
      <c r="GG99" s="49"/>
      <c r="GH99" s="49"/>
      <c r="GI99" s="49"/>
      <c r="GJ99" s="49"/>
      <c r="GK99" s="49"/>
      <c r="GL99" s="49"/>
      <c r="GM99" s="49"/>
      <c r="GN99" s="49"/>
      <c r="GO99" s="49"/>
      <c r="GP99" s="49"/>
      <c r="GQ99" s="49"/>
      <c r="GR99" s="49"/>
      <c r="GS99" s="49"/>
      <c r="GT99" s="49"/>
      <c r="GU99" s="49"/>
      <c r="GV99" s="49"/>
      <c r="GW99" s="49"/>
      <c r="GX99" s="49"/>
      <c r="GY99" s="49"/>
      <c r="GZ99" s="49"/>
      <c r="HA99" s="49"/>
      <c r="HB99" s="49"/>
      <c r="HC99" s="49"/>
      <c r="HD99" s="49"/>
      <c r="HE99" s="49"/>
      <c r="HF99" s="49"/>
      <c r="HG99" s="49"/>
      <c r="HH99" s="49"/>
      <c r="HI99" s="49"/>
      <c r="HJ99" s="49"/>
      <c r="HK99" s="49"/>
      <c r="HL99" s="49"/>
      <c r="HM99" s="49"/>
      <c r="HN99" s="49"/>
      <c r="HO99" s="49"/>
      <c r="HP99" s="49"/>
      <c r="HQ99" s="49"/>
      <c r="HR99" s="49"/>
      <c r="HS99" s="49"/>
    </row>
    <row r="100" spans="1:227" s="15" customFormat="1" ht="12">
      <c r="A100" s="74"/>
      <c r="C100" s="15" t="s">
        <v>15</v>
      </c>
      <c r="H100" s="244"/>
      <c r="I100" s="476"/>
      <c r="J100" s="477"/>
      <c r="K100" s="476"/>
      <c r="L100" s="242"/>
      <c r="M100" s="103"/>
      <c r="N100" s="31"/>
      <c r="O100" s="31"/>
      <c r="P100" s="49"/>
      <c r="Q100" s="103"/>
      <c r="R100" s="104"/>
      <c r="S100" s="105"/>
      <c r="T100" s="111"/>
      <c r="U100" s="142"/>
      <c r="V100" s="206"/>
      <c r="W100" s="207"/>
      <c r="X100" s="111"/>
      <c r="Y100" s="142"/>
      <c r="Z100" s="206"/>
      <c r="AA100" s="207"/>
      <c r="AB100" s="111"/>
      <c r="AC100" s="142"/>
      <c r="AD100" s="206"/>
      <c r="AE100" s="207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  <c r="BE100" s="111"/>
      <c r="BF100" s="111"/>
      <c r="BG100" s="111"/>
      <c r="BH100" s="111"/>
      <c r="BI100" s="111"/>
      <c r="BJ100" s="111"/>
      <c r="BK100" s="111"/>
      <c r="BL100" s="111"/>
      <c r="BM100" s="111"/>
      <c r="BN100" s="111"/>
      <c r="BO100" s="111"/>
      <c r="BP100" s="111"/>
      <c r="BQ100" s="111"/>
      <c r="BR100" s="111"/>
      <c r="BS100" s="111"/>
      <c r="BT100" s="111"/>
      <c r="BU100" s="111"/>
      <c r="BV100" s="111"/>
      <c r="BW100" s="111"/>
      <c r="BX100" s="111"/>
      <c r="BY100" s="111"/>
      <c r="BZ100" s="111"/>
      <c r="CA100" s="111"/>
      <c r="CB100" s="111"/>
      <c r="CC100" s="111"/>
      <c r="CD100" s="111"/>
      <c r="CE100" s="111"/>
      <c r="CF100" s="111"/>
      <c r="CG100" s="111"/>
      <c r="CH100" s="111"/>
      <c r="CI100" s="111"/>
      <c r="CJ100" s="111"/>
      <c r="CK100" s="111"/>
      <c r="CL100" s="111"/>
      <c r="CM100" s="111"/>
      <c r="CN100" s="111"/>
      <c r="CO100" s="111"/>
      <c r="CP100" s="111"/>
      <c r="CQ100" s="111"/>
      <c r="CR100" s="111"/>
      <c r="CS100" s="111"/>
      <c r="CT100" s="111"/>
      <c r="CU100" s="111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49"/>
      <c r="FF100" s="49"/>
      <c r="FG100" s="49"/>
      <c r="FH100" s="49"/>
      <c r="FI100" s="49"/>
      <c r="FJ100" s="49"/>
      <c r="FK100" s="49"/>
      <c r="FL100" s="49"/>
      <c r="FM100" s="49"/>
      <c r="FN100" s="49"/>
      <c r="FO100" s="49"/>
      <c r="FP100" s="49"/>
      <c r="FQ100" s="49"/>
      <c r="FR100" s="49"/>
      <c r="FS100" s="49"/>
      <c r="FT100" s="49"/>
      <c r="FU100" s="49"/>
      <c r="FV100" s="49"/>
      <c r="FW100" s="49"/>
      <c r="FX100" s="49"/>
      <c r="FY100" s="49"/>
      <c r="FZ100" s="49"/>
      <c r="GA100" s="49"/>
      <c r="GB100" s="49"/>
      <c r="GC100" s="49"/>
      <c r="GD100" s="49"/>
      <c r="GE100" s="49"/>
      <c r="GF100" s="49"/>
      <c r="GG100" s="49"/>
      <c r="GH100" s="49"/>
      <c r="GI100" s="49"/>
      <c r="GJ100" s="49"/>
      <c r="GK100" s="49"/>
      <c r="GL100" s="49"/>
      <c r="GM100" s="49"/>
      <c r="GN100" s="49"/>
      <c r="GO100" s="49"/>
      <c r="GP100" s="49"/>
      <c r="GQ100" s="49"/>
      <c r="GR100" s="49"/>
      <c r="GS100" s="49"/>
      <c r="GT100" s="49"/>
      <c r="GU100" s="49"/>
      <c r="GV100" s="49"/>
      <c r="GW100" s="49"/>
      <c r="GX100" s="49"/>
      <c r="GY100" s="49"/>
      <c r="GZ100" s="49"/>
      <c r="HA100" s="49"/>
      <c r="HB100" s="49"/>
      <c r="HC100" s="49"/>
      <c r="HD100" s="49"/>
      <c r="HE100" s="49"/>
      <c r="HF100" s="49"/>
      <c r="HG100" s="49"/>
      <c r="HH100" s="49"/>
      <c r="HI100" s="49"/>
      <c r="HJ100" s="49"/>
      <c r="HK100" s="49"/>
      <c r="HL100" s="49"/>
      <c r="HM100" s="49"/>
      <c r="HN100" s="49"/>
      <c r="HO100" s="49"/>
      <c r="HP100" s="49"/>
      <c r="HQ100" s="49"/>
      <c r="HR100" s="49"/>
      <c r="HS100" s="49"/>
    </row>
    <row r="101" spans="1:227" s="15" customFormat="1" ht="12">
      <c r="A101" s="74" t="s">
        <v>239</v>
      </c>
      <c r="D101" s="15" t="s">
        <v>11</v>
      </c>
      <c r="H101" s="244"/>
      <c r="I101" s="476"/>
      <c r="J101" s="477"/>
      <c r="K101" s="476"/>
      <c r="L101" s="242"/>
      <c r="M101" s="103"/>
      <c r="N101" s="31"/>
      <c r="O101" s="31"/>
      <c r="P101" s="49"/>
      <c r="Q101" s="103"/>
      <c r="R101" s="104"/>
      <c r="S101" s="105"/>
      <c r="T101" s="111"/>
      <c r="U101" s="142"/>
      <c r="V101" s="206"/>
      <c r="W101" s="207"/>
      <c r="X101" s="111"/>
      <c r="Y101" s="142"/>
      <c r="Z101" s="206"/>
      <c r="AA101" s="207"/>
      <c r="AB101" s="111"/>
      <c r="AC101" s="142"/>
      <c r="AD101" s="206"/>
      <c r="AE101" s="207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1"/>
      <c r="BB101" s="111"/>
      <c r="BC101" s="111"/>
      <c r="BD101" s="111"/>
      <c r="BE101" s="111"/>
      <c r="BF101" s="111"/>
      <c r="BG101" s="111"/>
      <c r="BH101" s="111"/>
      <c r="BI101" s="111"/>
      <c r="BJ101" s="111"/>
      <c r="BK101" s="111"/>
      <c r="BL101" s="111"/>
      <c r="BM101" s="111"/>
      <c r="BN101" s="111"/>
      <c r="BO101" s="111"/>
      <c r="BP101" s="111"/>
      <c r="BQ101" s="111"/>
      <c r="BR101" s="111"/>
      <c r="BS101" s="111"/>
      <c r="BT101" s="111"/>
      <c r="BU101" s="111"/>
      <c r="BV101" s="111"/>
      <c r="BW101" s="111"/>
      <c r="BX101" s="111"/>
      <c r="BY101" s="111"/>
      <c r="BZ101" s="111"/>
      <c r="CA101" s="111"/>
      <c r="CB101" s="111"/>
      <c r="CC101" s="111"/>
      <c r="CD101" s="111"/>
      <c r="CE101" s="111"/>
      <c r="CF101" s="111"/>
      <c r="CG101" s="111"/>
      <c r="CH101" s="111"/>
      <c r="CI101" s="111"/>
      <c r="CJ101" s="111"/>
      <c r="CK101" s="111"/>
      <c r="CL101" s="111"/>
      <c r="CM101" s="111"/>
      <c r="CN101" s="111"/>
      <c r="CO101" s="111"/>
      <c r="CP101" s="111"/>
      <c r="CQ101" s="111"/>
      <c r="CR101" s="111"/>
      <c r="CS101" s="111"/>
      <c r="CT101" s="111"/>
      <c r="CU101" s="111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  <c r="FI101" s="49"/>
      <c r="FJ101" s="49"/>
      <c r="FK101" s="49"/>
      <c r="FL101" s="49"/>
      <c r="FM101" s="49"/>
      <c r="FN101" s="49"/>
      <c r="FO101" s="49"/>
      <c r="FP101" s="49"/>
      <c r="FQ101" s="49"/>
      <c r="FR101" s="49"/>
      <c r="FS101" s="49"/>
      <c r="FT101" s="49"/>
      <c r="FU101" s="49"/>
      <c r="FV101" s="49"/>
      <c r="FW101" s="49"/>
      <c r="FX101" s="49"/>
      <c r="FY101" s="49"/>
      <c r="FZ101" s="49"/>
      <c r="GA101" s="49"/>
      <c r="GB101" s="49"/>
      <c r="GC101" s="49"/>
      <c r="GD101" s="49"/>
      <c r="GE101" s="49"/>
      <c r="GF101" s="49"/>
      <c r="GG101" s="49"/>
      <c r="GH101" s="49"/>
      <c r="GI101" s="49"/>
      <c r="GJ101" s="49"/>
      <c r="GK101" s="49"/>
      <c r="GL101" s="49"/>
      <c r="GM101" s="49"/>
      <c r="GN101" s="49"/>
      <c r="GO101" s="49"/>
      <c r="GP101" s="49"/>
      <c r="GQ101" s="49"/>
      <c r="GR101" s="49"/>
      <c r="GS101" s="49"/>
      <c r="GT101" s="49"/>
      <c r="GU101" s="49"/>
      <c r="GV101" s="49"/>
      <c r="GW101" s="49"/>
      <c r="GX101" s="49"/>
      <c r="GY101" s="49"/>
      <c r="GZ101" s="49"/>
      <c r="HA101" s="49"/>
      <c r="HB101" s="49"/>
      <c r="HC101" s="49"/>
      <c r="HD101" s="49"/>
      <c r="HE101" s="49"/>
      <c r="HF101" s="49"/>
      <c r="HG101" s="49"/>
      <c r="HH101" s="49"/>
      <c r="HI101" s="49"/>
      <c r="HJ101" s="49"/>
      <c r="HK101" s="49"/>
      <c r="HL101" s="49"/>
      <c r="HM101" s="49"/>
      <c r="HN101" s="49"/>
      <c r="HO101" s="49"/>
      <c r="HP101" s="49"/>
      <c r="HQ101" s="49"/>
      <c r="HR101" s="49"/>
      <c r="HS101" s="49"/>
    </row>
    <row r="102" spans="1:227" s="15" customFormat="1" ht="12">
      <c r="A102" s="74" t="s">
        <v>240</v>
      </c>
      <c r="D102" s="15" t="s">
        <v>12</v>
      </c>
      <c r="H102" s="244"/>
      <c r="I102" s="476"/>
      <c r="J102" s="477"/>
      <c r="K102" s="476"/>
      <c r="L102" s="242"/>
      <c r="M102" s="103"/>
      <c r="N102" s="31"/>
      <c r="O102" s="31"/>
      <c r="P102" s="49"/>
      <c r="Q102" s="103"/>
      <c r="R102" s="104"/>
      <c r="S102" s="105"/>
      <c r="T102" s="111"/>
      <c r="U102" s="142"/>
      <c r="V102" s="206"/>
      <c r="W102" s="207"/>
      <c r="X102" s="111"/>
      <c r="Y102" s="142"/>
      <c r="Z102" s="206"/>
      <c r="AA102" s="207"/>
      <c r="AB102" s="111"/>
      <c r="AC102" s="142"/>
      <c r="AD102" s="206"/>
      <c r="AE102" s="207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  <c r="CC102" s="111"/>
      <c r="CD102" s="111"/>
      <c r="CE102" s="111"/>
      <c r="CF102" s="111"/>
      <c r="CG102" s="111"/>
      <c r="CH102" s="111"/>
      <c r="CI102" s="111"/>
      <c r="CJ102" s="111"/>
      <c r="CK102" s="111"/>
      <c r="CL102" s="111"/>
      <c r="CM102" s="111"/>
      <c r="CN102" s="111"/>
      <c r="CO102" s="111"/>
      <c r="CP102" s="111"/>
      <c r="CQ102" s="111"/>
      <c r="CR102" s="111"/>
      <c r="CS102" s="111"/>
      <c r="CT102" s="111"/>
      <c r="CU102" s="111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49"/>
      <c r="FI102" s="49"/>
      <c r="FJ102" s="49"/>
      <c r="FK102" s="49"/>
      <c r="FL102" s="49"/>
      <c r="FM102" s="49"/>
      <c r="FN102" s="49"/>
      <c r="FO102" s="49"/>
      <c r="FP102" s="49"/>
      <c r="FQ102" s="49"/>
      <c r="FR102" s="49"/>
      <c r="FS102" s="49"/>
      <c r="FT102" s="49"/>
      <c r="FU102" s="49"/>
      <c r="FV102" s="49"/>
      <c r="FW102" s="49"/>
      <c r="FX102" s="49"/>
      <c r="FY102" s="49"/>
      <c r="FZ102" s="49"/>
      <c r="GA102" s="49"/>
      <c r="GB102" s="49"/>
      <c r="GC102" s="49"/>
      <c r="GD102" s="49"/>
      <c r="GE102" s="49"/>
      <c r="GF102" s="49"/>
      <c r="GG102" s="49"/>
      <c r="GH102" s="49"/>
      <c r="GI102" s="49"/>
      <c r="GJ102" s="49"/>
      <c r="GK102" s="49"/>
      <c r="GL102" s="49"/>
      <c r="GM102" s="49"/>
      <c r="GN102" s="49"/>
      <c r="GO102" s="49"/>
      <c r="GP102" s="49"/>
      <c r="GQ102" s="49"/>
      <c r="GR102" s="49"/>
      <c r="GS102" s="49"/>
      <c r="GT102" s="49"/>
      <c r="GU102" s="49"/>
      <c r="GV102" s="49"/>
      <c r="GW102" s="49"/>
      <c r="GX102" s="49"/>
      <c r="GY102" s="49"/>
      <c r="GZ102" s="49"/>
      <c r="HA102" s="49"/>
      <c r="HB102" s="49"/>
      <c r="HC102" s="49"/>
      <c r="HD102" s="49"/>
      <c r="HE102" s="49"/>
      <c r="HF102" s="49"/>
      <c r="HG102" s="49"/>
      <c r="HH102" s="49"/>
      <c r="HI102" s="49"/>
      <c r="HJ102" s="49"/>
      <c r="HK102" s="49"/>
      <c r="HL102" s="49"/>
      <c r="HM102" s="49"/>
      <c r="HN102" s="49"/>
      <c r="HO102" s="49"/>
      <c r="HP102" s="49"/>
      <c r="HQ102" s="49"/>
      <c r="HR102" s="49"/>
      <c r="HS102" s="49"/>
    </row>
    <row r="103" spans="1:227" s="15" customFormat="1" ht="12">
      <c r="A103" s="74" t="s">
        <v>241</v>
      </c>
      <c r="D103" s="15" t="s">
        <v>13</v>
      </c>
      <c r="H103" s="244"/>
      <c r="I103" s="476"/>
      <c r="J103" s="474"/>
      <c r="K103" s="476"/>
      <c r="L103" s="242"/>
      <c r="M103" s="103"/>
      <c r="N103" s="31"/>
      <c r="O103" s="31"/>
      <c r="P103" s="49"/>
      <c r="Q103" s="103"/>
      <c r="R103" s="104"/>
      <c r="S103" s="105"/>
      <c r="T103" s="111"/>
      <c r="U103" s="142"/>
      <c r="V103" s="206"/>
      <c r="W103" s="207"/>
      <c r="X103" s="111"/>
      <c r="Y103" s="142"/>
      <c r="Z103" s="206"/>
      <c r="AA103" s="207"/>
      <c r="AB103" s="111"/>
      <c r="AC103" s="142"/>
      <c r="AD103" s="206"/>
      <c r="AE103" s="207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1"/>
      <c r="CL103" s="111"/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  <c r="FI103" s="49"/>
      <c r="FJ103" s="49"/>
      <c r="FK103" s="49"/>
      <c r="FL103" s="49"/>
      <c r="FM103" s="49"/>
      <c r="FN103" s="49"/>
      <c r="FO103" s="49"/>
      <c r="FP103" s="49"/>
      <c r="FQ103" s="49"/>
      <c r="FR103" s="49"/>
      <c r="FS103" s="49"/>
      <c r="FT103" s="49"/>
      <c r="FU103" s="49"/>
      <c r="FV103" s="49"/>
      <c r="FW103" s="49"/>
      <c r="FX103" s="49"/>
      <c r="FY103" s="49"/>
      <c r="FZ103" s="49"/>
      <c r="GA103" s="49"/>
      <c r="GB103" s="49"/>
      <c r="GC103" s="49"/>
      <c r="GD103" s="49"/>
      <c r="GE103" s="49"/>
      <c r="GF103" s="49"/>
      <c r="GG103" s="49"/>
      <c r="GH103" s="49"/>
      <c r="GI103" s="49"/>
      <c r="GJ103" s="49"/>
      <c r="GK103" s="49"/>
      <c r="GL103" s="49"/>
      <c r="GM103" s="49"/>
      <c r="GN103" s="49"/>
      <c r="GO103" s="49"/>
      <c r="GP103" s="49"/>
      <c r="GQ103" s="49"/>
      <c r="GR103" s="49"/>
      <c r="GS103" s="49"/>
      <c r="GT103" s="49"/>
      <c r="GU103" s="49"/>
      <c r="GV103" s="49"/>
      <c r="GW103" s="49"/>
      <c r="GX103" s="49"/>
      <c r="GY103" s="49"/>
      <c r="GZ103" s="49"/>
      <c r="HA103" s="49"/>
      <c r="HB103" s="49"/>
      <c r="HC103" s="49"/>
      <c r="HD103" s="49"/>
      <c r="HE103" s="49"/>
      <c r="HF103" s="49"/>
      <c r="HG103" s="49"/>
      <c r="HH103" s="49"/>
      <c r="HI103" s="49"/>
      <c r="HJ103" s="49"/>
      <c r="HK103" s="49"/>
      <c r="HL103" s="49"/>
      <c r="HM103" s="49"/>
      <c r="HN103" s="49"/>
      <c r="HO103" s="49"/>
      <c r="HP103" s="49"/>
      <c r="HQ103" s="49"/>
      <c r="HR103" s="49"/>
      <c r="HS103" s="49"/>
    </row>
    <row r="104" spans="1:227" s="15" customFormat="1" ht="12">
      <c r="A104" s="74" t="s">
        <v>242</v>
      </c>
      <c r="D104" s="15" t="s">
        <v>14</v>
      </c>
      <c r="H104" s="244"/>
      <c r="I104" s="476"/>
      <c r="J104" s="476"/>
      <c r="K104" s="476"/>
      <c r="L104" s="242"/>
      <c r="M104" s="103"/>
      <c r="N104" s="31"/>
      <c r="O104" s="31"/>
      <c r="P104" s="49"/>
      <c r="Q104" s="103"/>
      <c r="R104" s="105"/>
      <c r="S104" s="105"/>
      <c r="T104" s="111"/>
      <c r="U104" s="142"/>
      <c r="V104" s="207"/>
      <c r="W104" s="207"/>
      <c r="X104" s="111"/>
      <c r="Y104" s="142"/>
      <c r="Z104" s="207"/>
      <c r="AA104" s="207"/>
      <c r="AB104" s="111"/>
      <c r="AC104" s="142"/>
      <c r="AD104" s="207"/>
      <c r="AE104" s="207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AY104" s="111"/>
      <c r="AZ104" s="111"/>
      <c r="BA104" s="111"/>
      <c r="BB104" s="111"/>
      <c r="BC104" s="111"/>
      <c r="BD104" s="111"/>
      <c r="BE104" s="111"/>
      <c r="BF104" s="111"/>
      <c r="BG104" s="111"/>
      <c r="BH104" s="111"/>
      <c r="BI104" s="111"/>
      <c r="BJ104" s="111"/>
      <c r="BK104" s="111"/>
      <c r="BL104" s="111"/>
      <c r="BM104" s="111"/>
      <c r="BN104" s="111"/>
      <c r="BO104" s="111"/>
      <c r="BP104" s="111"/>
      <c r="BQ104" s="111"/>
      <c r="BR104" s="111"/>
      <c r="BS104" s="111"/>
      <c r="BT104" s="111"/>
      <c r="BU104" s="111"/>
      <c r="BV104" s="111"/>
      <c r="BW104" s="111"/>
      <c r="BX104" s="111"/>
      <c r="BY104" s="111"/>
      <c r="BZ104" s="111"/>
      <c r="CA104" s="111"/>
      <c r="CB104" s="111"/>
      <c r="CC104" s="111"/>
      <c r="CD104" s="111"/>
      <c r="CE104" s="111"/>
      <c r="CF104" s="111"/>
      <c r="CG104" s="111"/>
      <c r="CH104" s="111"/>
      <c r="CI104" s="111"/>
      <c r="CJ104" s="111"/>
      <c r="CK104" s="111"/>
      <c r="CL104" s="111"/>
      <c r="CM104" s="111"/>
      <c r="CN104" s="111"/>
      <c r="CO104" s="111"/>
      <c r="CP104" s="111"/>
      <c r="CQ104" s="111"/>
      <c r="CR104" s="111"/>
      <c r="CS104" s="111"/>
      <c r="CT104" s="111"/>
      <c r="CU104" s="111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  <c r="FI104" s="49"/>
      <c r="FJ104" s="49"/>
      <c r="FK104" s="49"/>
      <c r="FL104" s="49"/>
      <c r="FM104" s="49"/>
      <c r="FN104" s="49"/>
      <c r="FO104" s="49"/>
      <c r="FP104" s="49"/>
      <c r="FQ104" s="49"/>
      <c r="FR104" s="49"/>
      <c r="FS104" s="49"/>
      <c r="FT104" s="49"/>
      <c r="FU104" s="49"/>
      <c r="FV104" s="49"/>
      <c r="FW104" s="49"/>
      <c r="FX104" s="49"/>
      <c r="FY104" s="49"/>
      <c r="FZ104" s="49"/>
      <c r="GA104" s="49"/>
      <c r="GB104" s="49"/>
      <c r="GC104" s="49"/>
      <c r="GD104" s="49"/>
      <c r="GE104" s="49"/>
      <c r="GF104" s="49"/>
      <c r="GG104" s="49"/>
      <c r="GH104" s="49"/>
      <c r="GI104" s="49"/>
      <c r="GJ104" s="49"/>
      <c r="GK104" s="49"/>
      <c r="GL104" s="49"/>
      <c r="GM104" s="49"/>
      <c r="GN104" s="49"/>
      <c r="GO104" s="49"/>
      <c r="GP104" s="49"/>
      <c r="GQ104" s="49"/>
      <c r="GR104" s="49"/>
      <c r="GS104" s="49"/>
      <c r="GT104" s="49"/>
      <c r="GU104" s="49"/>
      <c r="GV104" s="49"/>
      <c r="GW104" s="49"/>
      <c r="GX104" s="49"/>
      <c r="GY104" s="49"/>
      <c r="GZ104" s="49"/>
      <c r="HA104" s="49"/>
      <c r="HB104" s="49"/>
      <c r="HC104" s="49"/>
      <c r="HD104" s="49"/>
      <c r="HE104" s="49"/>
      <c r="HF104" s="49"/>
      <c r="HG104" s="49"/>
      <c r="HH104" s="49"/>
      <c r="HI104" s="49"/>
      <c r="HJ104" s="49"/>
      <c r="HK104" s="49"/>
      <c r="HL104" s="49"/>
      <c r="HM104" s="49"/>
      <c r="HN104" s="49"/>
      <c r="HO104" s="49"/>
      <c r="HP104" s="49"/>
      <c r="HQ104" s="49"/>
      <c r="HR104" s="49"/>
      <c r="HS104" s="49"/>
    </row>
    <row r="105" spans="1:227" s="15" customFormat="1" ht="12">
      <c r="A105" s="74"/>
      <c r="C105" s="15" t="s">
        <v>16</v>
      </c>
      <c r="H105" s="244"/>
      <c r="I105" s="476"/>
      <c r="J105" s="476"/>
      <c r="K105" s="476"/>
      <c r="L105" s="242"/>
      <c r="M105" s="103"/>
      <c r="N105" s="31"/>
      <c r="O105" s="31"/>
      <c r="P105" s="49"/>
      <c r="Q105" s="103"/>
      <c r="R105" s="104"/>
      <c r="S105" s="105"/>
      <c r="T105" s="111"/>
      <c r="U105" s="142"/>
      <c r="V105" s="206"/>
      <c r="W105" s="207"/>
      <c r="X105" s="111"/>
      <c r="Y105" s="142"/>
      <c r="Z105" s="206"/>
      <c r="AA105" s="207"/>
      <c r="AB105" s="111"/>
      <c r="AC105" s="142"/>
      <c r="AD105" s="206"/>
      <c r="AE105" s="207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  <c r="BC105" s="111"/>
      <c r="BD105" s="111"/>
      <c r="BE105" s="111"/>
      <c r="BF105" s="111"/>
      <c r="BG105" s="111"/>
      <c r="BH105" s="111"/>
      <c r="BI105" s="111"/>
      <c r="BJ105" s="111"/>
      <c r="BK105" s="111"/>
      <c r="BL105" s="111"/>
      <c r="BM105" s="111"/>
      <c r="BN105" s="111"/>
      <c r="BO105" s="111"/>
      <c r="BP105" s="111"/>
      <c r="BQ105" s="111"/>
      <c r="BR105" s="111"/>
      <c r="BS105" s="111"/>
      <c r="BT105" s="111"/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1"/>
      <c r="CL105" s="111"/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49"/>
      <c r="FF105" s="49"/>
      <c r="FG105" s="49"/>
      <c r="FH105" s="49"/>
      <c r="FI105" s="49"/>
      <c r="FJ105" s="49"/>
      <c r="FK105" s="49"/>
      <c r="FL105" s="49"/>
      <c r="FM105" s="49"/>
      <c r="FN105" s="49"/>
      <c r="FO105" s="49"/>
      <c r="FP105" s="49"/>
      <c r="FQ105" s="49"/>
      <c r="FR105" s="49"/>
      <c r="FS105" s="49"/>
      <c r="FT105" s="49"/>
      <c r="FU105" s="49"/>
      <c r="FV105" s="49"/>
      <c r="FW105" s="49"/>
      <c r="FX105" s="49"/>
      <c r="FY105" s="49"/>
      <c r="FZ105" s="49"/>
      <c r="GA105" s="49"/>
      <c r="GB105" s="49"/>
      <c r="GC105" s="49"/>
      <c r="GD105" s="49"/>
      <c r="GE105" s="49"/>
      <c r="GF105" s="49"/>
      <c r="GG105" s="49"/>
      <c r="GH105" s="49"/>
      <c r="GI105" s="49"/>
      <c r="GJ105" s="49"/>
      <c r="GK105" s="49"/>
      <c r="GL105" s="49"/>
      <c r="GM105" s="49"/>
      <c r="GN105" s="49"/>
      <c r="GO105" s="49"/>
      <c r="GP105" s="49"/>
      <c r="GQ105" s="49"/>
      <c r="GR105" s="49"/>
      <c r="GS105" s="49"/>
      <c r="GT105" s="49"/>
      <c r="GU105" s="49"/>
      <c r="GV105" s="49"/>
      <c r="GW105" s="49"/>
      <c r="GX105" s="49"/>
      <c r="GY105" s="49"/>
      <c r="GZ105" s="49"/>
      <c r="HA105" s="49"/>
      <c r="HB105" s="49"/>
      <c r="HC105" s="49"/>
      <c r="HD105" s="49"/>
      <c r="HE105" s="49"/>
      <c r="HF105" s="49"/>
      <c r="HG105" s="49"/>
      <c r="HH105" s="49"/>
      <c r="HI105" s="49"/>
      <c r="HJ105" s="49"/>
      <c r="HK105" s="49"/>
      <c r="HL105" s="49"/>
      <c r="HM105" s="49"/>
      <c r="HN105" s="49"/>
      <c r="HO105" s="49"/>
      <c r="HP105" s="49"/>
      <c r="HQ105" s="49"/>
      <c r="HR105" s="49"/>
      <c r="HS105" s="49"/>
    </row>
    <row r="106" spans="1:227" s="15" customFormat="1" ht="12">
      <c r="A106" s="74"/>
      <c r="C106" s="15" t="s">
        <v>10</v>
      </c>
      <c r="H106" s="240"/>
      <c r="I106" s="476"/>
      <c r="J106" s="476"/>
      <c r="K106" s="476"/>
      <c r="L106" s="242"/>
      <c r="M106" s="103"/>
      <c r="N106" s="31"/>
      <c r="O106" s="31"/>
      <c r="P106" s="49"/>
      <c r="Q106" s="103"/>
      <c r="R106" s="104"/>
      <c r="S106" s="105"/>
      <c r="T106" s="111"/>
      <c r="U106" s="142"/>
      <c r="V106" s="206"/>
      <c r="W106" s="207"/>
      <c r="X106" s="111"/>
      <c r="Y106" s="142"/>
      <c r="Z106" s="206"/>
      <c r="AA106" s="207"/>
      <c r="AB106" s="111"/>
      <c r="AC106" s="142"/>
      <c r="AD106" s="206"/>
      <c r="AE106" s="207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  <c r="BC106" s="111"/>
      <c r="BD106" s="111"/>
      <c r="BE106" s="111"/>
      <c r="BF106" s="111"/>
      <c r="BG106" s="111"/>
      <c r="BH106" s="111"/>
      <c r="BI106" s="111"/>
      <c r="BJ106" s="111"/>
      <c r="BK106" s="111"/>
      <c r="BL106" s="111"/>
      <c r="BM106" s="111"/>
      <c r="BN106" s="111"/>
      <c r="BO106" s="111"/>
      <c r="BP106" s="111"/>
      <c r="BQ106" s="111"/>
      <c r="BR106" s="111"/>
      <c r="BS106" s="111"/>
      <c r="BT106" s="111"/>
      <c r="BU106" s="111"/>
      <c r="BV106" s="111"/>
      <c r="BW106" s="111"/>
      <c r="BX106" s="111"/>
      <c r="BY106" s="111"/>
      <c r="BZ106" s="111"/>
      <c r="CA106" s="111"/>
      <c r="CB106" s="111"/>
      <c r="CC106" s="111"/>
      <c r="CD106" s="111"/>
      <c r="CE106" s="111"/>
      <c r="CF106" s="111"/>
      <c r="CG106" s="111"/>
      <c r="CH106" s="111"/>
      <c r="CI106" s="111"/>
      <c r="CJ106" s="111"/>
      <c r="CK106" s="111"/>
      <c r="CL106" s="111"/>
      <c r="CM106" s="111"/>
      <c r="CN106" s="111"/>
      <c r="CO106" s="111"/>
      <c r="CP106" s="111"/>
      <c r="CQ106" s="111"/>
      <c r="CR106" s="111"/>
      <c r="CS106" s="111"/>
      <c r="CT106" s="111"/>
      <c r="CU106" s="111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49"/>
      <c r="FF106" s="49"/>
      <c r="FG106" s="49"/>
      <c r="FH106" s="49"/>
      <c r="FI106" s="49"/>
      <c r="FJ106" s="49"/>
      <c r="FK106" s="49"/>
      <c r="FL106" s="49"/>
      <c r="FM106" s="49"/>
      <c r="FN106" s="49"/>
      <c r="FO106" s="49"/>
      <c r="FP106" s="49"/>
      <c r="FQ106" s="49"/>
      <c r="FR106" s="49"/>
      <c r="FS106" s="49"/>
      <c r="FT106" s="49"/>
      <c r="FU106" s="49"/>
      <c r="FV106" s="49"/>
      <c r="FW106" s="49"/>
      <c r="FX106" s="49"/>
      <c r="FY106" s="49"/>
      <c r="FZ106" s="49"/>
      <c r="GA106" s="49"/>
      <c r="GB106" s="49"/>
      <c r="GC106" s="49"/>
      <c r="GD106" s="49"/>
      <c r="GE106" s="49"/>
      <c r="GF106" s="49"/>
      <c r="GG106" s="49"/>
      <c r="GH106" s="49"/>
      <c r="GI106" s="49"/>
      <c r="GJ106" s="49"/>
      <c r="GK106" s="49"/>
      <c r="GL106" s="49"/>
      <c r="GM106" s="49"/>
      <c r="GN106" s="49"/>
      <c r="GO106" s="49"/>
      <c r="GP106" s="49"/>
      <c r="GQ106" s="49"/>
      <c r="GR106" s="49"/>
      <c r="GS106" s="49"/>
      <c r="GT106" s="49"/>
      <c r="GU106" s="49"/>
      <c r="GV106" s="49"/>
      <c r="GW106" s="49"/>
      <c r="GX106" s="49"/>
      <c r="GY106" s="49"/>
      <c r="GZ106" s="49"/>
      <c r="HA106" s="49"/>
      <c r="HB106" s="49"/>
      <c r="HC106" s="49"/>
      <c r="HD106" s="49"/>
      <c r="HE106" s="49"/>
      <c r="HF106" s="49"/>
      <c r="HG106" s="49"/>
      <c r="HH106" s="49"/>
      <c r="HI106" s="49"/>
      <c r="HJ106" s="49"/>
      <c r="HK106" s="49"/>
      <c r="HL106" s="49"/>
      <c r="HM106" s="49"/>
      <c r="HN106" s="49"/>
      <c r="HO106" s="49"/>
      <c r="HP106" s="49"/>
      <c r="HQ106" s="49"/>
      <c r="HR106" s="49"/>
      <c r="HS106" s="49"/>
    </row>
    <row r="107" spans="1:227" s="15" customFormat="1" ht="12">
      <c r="A107" s="74" t="s">
        <v>243</v>
      </c>
      <c r="D107" s="15" t="s">
        <v>17</v>
      </c>
      <c r="H107" s="240"/>
      <c r="I107" s="476"/>
      <c r="J107" s="476"/>
      <c r="K107" s="476"/>
      <c r="L107" s="242"/>
      <c r="M107" s="103"/>
      <c r="N107" s="226"/>
      <c r="O107" s="31"/>
      <c r="P107" s="49"/>
      <c r="Q107" s="103"/>
      <c r="R107" s="31"/>
      <c r="S107" s="31"/>
      <c r="T107" s="111"/>
      <c r="U107" s="142"/>
      <c r="V107" s="43"/>
      <c r="W107" s="43"/>
      <c r="X107" s="111"/>
      <c r="Y107" s="142"/>
      <c r="Z107" s="43"/>
      <c r="AA107" s="43"/>
      <c r="AB107" s="111"/>
      <c r="AC107" s="142"/>
      <c r="AD107" s="43"/>
      <c r="AE107" s="43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/>
      <c r="BF107" s="111"/>
      <c r="BG107" s="111"/>
      <c r="BH107" s="111"/>
      <c r="BI107" s="111"/>
      <c r="BJ107" s="111"/>
      <c r="BK107" s="111"/>
      <c r="BL107" s="111"/>
      <c r="BM107" s="111"/>
      <c r="BN107" s="111"/>
      <c r="BO107" s="111"/>
      <c r="BP107" s="111"/>
      <c r="BQ107" s="111"/>
      <c r="BR107" s="111"/>
      <c r="BS107" s="111"/>
      <c r="BT107" s="111"/>
      <c r="BU107" s="111"/>
      <c r="BV107" s="111"/>
      <c r="BW107" s="111"/>
      <c r="BX107" s="111"/>
      <c r="BY107" s="111"/>
      <c r="BZ107" s="111"/>
      <c r="CA107" s="111"/>
      <c r="CB107" s="111"/>
      <c r="CC107" s="111"/>
      <c r="CD107" s="111"/>
      <c r="CE107" s="111"/>
      <c r="CF107" s="111"/>
      <c r="CG107" s="111"/>
      <c r="CH107" s="111"/>
      <c r="CI107" s="111"/>
      <c r="CJ107" s="111"/>
      <c r="CK107" s="111"/>
      <c r="CL107" s="111"/>
      <c r="CM107" s="111"/>
      <c r="CN107" s="111"/>
      <c r="CO107" s="111"/>
      <c r="CP107" s="111"/>
      <c r="CQ107" s="111"/>
      <c r="CR107" s="111"/>
      <c r="CS107" s="111"/>
      <c r="CT107" s="111"/>
      <c r="CU107" s="111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49"/>
      <c r="FF107" s="49"/>
      <c r="FG107" s="49"/>
      <c r="FH107" s="49"/>
      <c r="FI107" s="49"/>
      <c r="FJ107" s="49"/>
      <c r="FK107" s="49"/>
      <c r="FL107" s="49"/>
      <c r="FM107" s="49"/>
      <c r="FN107" s="49"/>
      <c r="FO107" s="49"/>
      <c r="FP107" s="49"/>
      <c r="FQ107" s="49"/>
      <c r="FR107" s="49"/>
      <c r="FS107" s="49"/>
      <c r="FT107" s="49"/>
      <c r="FU107" s="49"/>
      <c r="FV107" s="49"/>
      <c r="FW107" s="49"/>
      <c r="FX107" s="49"/>
      <c r="FY107" s="49"/>
      <c r="FZ107" s="49"/>
      <c r="GA107" s="49"/>
      <c r="GB107" s="49"/>
      <c r="GC107" s="49"/>
      <c r="GD107" s="49"/>
      <c r="GE107" s="49"/>
      <c r="GF107" s="49"/>
      <c r="GG107" s="49"/>
      <c r="GH107" s="49"/>
      <c r="GI107" s="49"/>
      <c r="GJ107" s="49"/>
      <c r="GK107" s="49"/>
      <c r="GL107" s="49"/>
      <c r="GM107" s="49"/>
      <c r="GN107" s="49"/>
      <c r="GO107" s="49"/>
      <c r="GP107" s="49"/>
      <c r="GQ107" s="49"/>
      <c r="GR107" s="49"/>
      <c r="GS107" s="49"/>
      <c r="GT107" s="49"/>
      <c r="GU107" s="49"/>
      <c r="GV107" s="49"/>
      <c r="GW107" s="49"/>
      <c r="GX107" s="49"/>
      <c r="GY107" s="49"/>
      <c r="GZ107" s="49"/>
      <c r="HA107" s="49"/>
      <c r="HB107" s="49"/>
      <c r="HC107" s="49"/>
      <c r="HD107" s="49"/>
      <c r="HE107" s="49"/>
      <c r="HF107" s="49"/>
      <c r="HG107" s="49"/>
      <c r="HH107" s="49"/>
      <c r="HI107" s="49"/>
      <c r="HJ107" s="49"/>
      <c r="HK107" s="49"/>
      <c r="HL107" s="49"/>
      <c r="HM107" s="49"/>
      <c r="HN107" s="49"/>
      <c r="HO107" s="49"/>
      <c r="HP107" s="49"/>
      <c r="HQ107" s="49"/>
      <c r="HR107" s="49"/>
      <c r="HS107" s="49"/>
    </row>
    <row r="108" spans="1:227" s="15" customFormat="1" ht="36">
      <c r="A108" s="74" t="s">
        <v>244</v>
      </c>
      <c r="D108" s="15" t="s">
        <v>18</v>
      </c>
      <c r="H108" s="240" t="s">
        <v>439</v>
      </c>
      <c r="I108" s="476"/>
      <c r="J108" s="473" t="s">
        <v>503</v>
      </c>
      <c r="K108" s="476"/>
      <c r="L108" s="242"/>
      <c r="M108" s="103"/>
      <c r="N108" s="31"/>
      <c r="O108" s="31"/>
      <c r="P108" s="49"/>
      <c r="Q108" s="103"/>
      <c r="R108" s="104"/>
      <c r="S108" s="105"/>
      <c r="T108" s="111"/>
      <c r="U108" s="142"/>
      <c r="V108" s="206"/>
      <c r="W108" s="207"/>
      <c r="X108" s="111"/>
      <c r="Y108" s="142"/>
      <c r="Z108" s="206"/>
      <c r="AA108" s="207"/>
      <c r="AB108" s="111"/>
      <c r="AC108" s="142"/>
      <c r="AD108" s="206"/>
      <c r="AE108" s="207"/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11"/>
      <c r="AQ108" s="111"/>
      <c r="AR108" s="111"/>
      <c r="AS108" s="111"/>
      <c r="AT108" s="111"/>
      <c r="AU108" s="111"/>
      <c r="AV108" s="111"/>
      <c r="AW108" s="111"/>
      <c r="AX108" s="111"/>
      <c r="AY108" s="111"/>
      <c r="AZ108" s="111"/>
      <c r="BA108" s="111"/>
      <c r="BB108" s="111"/>
      <c r="BC108" s="111"/>
      <c r="BD108" s="111"/>
      <c r="BE108" s="111"/>
      <c r="BF108" s="111"/>
      <c r="BG108" s="111"/>
      <c r="BH108" s="111"/>
      <c r="BI108" s="111"/>
      <c r="BJ108" s="111"/>
      <c r="BK108" s="111"/>
      <c r="BL108" s="111"/>
      <c r="BM108" s="111"/>
      <c r="BN108" s="111"/>
      <c r="BO108" s="111"/>
      <c r="BP108" s="111"/>
      <c r="BQ108" s="111"/>
      <c r="BR108" s="111"/>
      <c r="BS108" s="111"/>
      <c r="BT108" s="111"/>
      <c r="BU108" s="111"/>
      <c r="BV108" s="111"/>
      <c r="BW108" s="111"/>
      <c r="BX108" s="111"/>
      <c r="BY108" s="111"/>
      <c r="BZ108" s="111"/>
      <c r="CA108" s="111"/>
      <c r="CB108" s="111"/>
      <c r="CC108" s="111"/>
      <c r="CD108" s="111"/>
      <c r="CE108" s="111"/>
      <c r="CF108" s="111"/>
      <c r="CG108" s="111"/>
      <c r="CH108" s="111"/>
      <c r="CI108" s="111"/>
      <c r="CJ108" s="111"/>
      <c r="CK108" s="111"/>
      <c r="CL108" s="111"/>
      <c r="CM108" s="111"/>
      <c r="CN108" s="111"/>
      <c r="CO108" s="111"/>
      <c r="CP108" s="111"/>
      <c r="CQ108" s="111"/>
      <c r="CR108" s="111"/>
      <c r="CS108" s="111"/>
      <c r="CT108" s="111"/>
      <c r="CU108" s="111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  <c r="FI108" s="49"/>
      <c r="FJ108" s="49"/>
      <c r="FK108" s="49"/>
      <c r="FL108" s="49"/>
      <c r="FM108" s="49"/>
      <c r="FN108" s="49"/>
      <c r="FO108" s="49"/>
      <c r="FP108" s="49"/>
      <c r="FQ108" s="49"/>
      <c r="FR108" s="49"/>
      <c r="FS108" s="49"/>
      <c r="FT108" s="49"/>
      <c r="FU108" s="49"/>
      <c r="FV108" s="49"/>
      <c r="FW108" s="49"/>
      <c r="FX108" s="49"/>
      <c r="FY108" s="49"/>
      <c r="FZ108" s="49"/>
      <c r="GA108" s="49"/>
      <c r="GB108" s="49"/>
      <c r="GC108" s="49"/>
      <c r="GD108" s="49"/>
      <c r="GE108" s="49"/>
      <c r="GF108" s="49"/>
      <c r="GG108" s="49"/>
      <c r="GH108" s="49"/>
      <c r="GI108" s="49"/>
      <c r="GJ108" s="49"/>
      <c r="GK108" s="49"/>
      <c r="GL108" s="49"/>
      <c r="GM108" s="49"/>
      <c r="GN108" s="49"/>
      <c r="GO108" s="49"/>
      <c r="GP108" s="49"/>
      <c r="GQ108" s="49"/>
      <c r="GR108" s="49"/>
      <c r="GS108" s="49"/>
      <c r="GT108" s="49"/>
      <c r="GU108" s="49"/>
      <c r="GV108" s="49"/>
      <c r="GW108" s="49"/>
      <c r="GX108" s="49"/>
      <c r="GY108" s="49"/>
      <c r="GZ108" s="49"/>
      <c r="HA108" s="49"/>
      <c r="HB108" s="49"/>
      <c r="HC108" s="49"/>
      <c r="HD108" s="49"/>
      <c r="HE108" s="49"/>
      <c r="HF108" s="49"/>
      <c r="HG108" s="49"/>
      <c r="HH108" s="49"/>
      <c r="HI108" s="49"/>
      <c r="HJ108" s="49"/>
      <c r="HK108" s="49"/>
      <c r="HL108" s="49"/>
      <c r="HM108" s="49"/>
      <c r="HN108" s="49"/>
      <c r="HO108" s="49"/>
      <c r="HP108" s="49"/>
      <c r="HQ108" s="49"/>
      <c r="HR108" s="49"/>
      <c r="HS108" s="49"/>
    </row>
    <row r="109" spans="1:227" s="15" customFormat="1" ht="12">
      <c r="A109" s="74"/>
      <c r="C109" s="15" t="s">
        <v>15</v>
      </c>
      <c r="H109" s="240"/>
      <c r="I109" s="476"/>
      <c r="J109" s="477"/>
      <c r="K109" s="476"/>
      <c r="L109" s="242"/>
      <c r="M109" s="103"/>
      <c r="N109" s="31"/>
      <c r="O109" s="31"/>
      <c r="P109" s="49"/>
      <c r="Q109" s="103"/>
      <c r="R109" s="105"/>
      <c r="S109" s="105"/>
      <c r="T109" s="111"/>
      <c r="U109" s="142"/>
      <c r="V109" s="207"/>
      <c r="W109" s="207"/>
      <c r="X109" s="111"/>
      <c r="Y109" s="142"/>
      <c r="Z109" s="207"/>
      <c r="AA109" s="207"/>
      <c r="AB109" s="111"/>
      <c r="AC109" s="142"/>
      <c r="AD109" s="207"/>
      <c r="AE109" s="207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1"/>
      <c r="AZ109" s="111"/>
      <c r="BA109" s="111"/>
      <c r="BB109" s="111"/>
      <c r="BC109" s="111"/>
      <c r="BD109" s="111"/>
      <c r="BE109" s="111"/>
      <c r="BF109" s="111"/>
      <c r="BG109" s="111"/>
      <c r="BH109" s="111"/>
      <c r="BI109" s="111"/>
      <c r="BJ109" s="111"/>
      <c r="BK109" s="111"/>
      <c r="BL109" s="111"/>
      <c r="BM109" s="111"/>
      <c r="BN109" s="111"/>
      <c r="BO109" s="111"/>
      <c r="BP109" s="111"/>
      <c r="BQ109" s="111"/>
      <c r="BR109" s="111"/>
      <c r="BS109" s="111"/>
      <c r="BT109" s="111"/>
      <c r="BU109" s="111"/>
      <c r="BV109" s="111"/>
      <c r="BW109" s="111"/>
      <c r="BX109" s="111"/>
      <c r="BY109" s="111"/>
      <c r="BZ109" s="111"/>
      <c r="CA109" s="111"/>
      <c r="CB109" s="111"/>
      <c r="CC109" s="111"/>
      <c r="CD109" s="111"/>
      <c r="CE109" s="111"/>
      <c r="CF109" s="111"/>
      <c r="CG109" s="111"/>
      <c r="CH109" s="111"/>
      <c r="CI109" s="111"/>
      <c r="CJ109" s="111"/>
      <c r="CK109" s="111"/>
      <c r="CL109" s="111"/>
      <c r="CM109" s="111"/>
      <c r="CN109" s="111"/>
      <c r="CO109" s="111"/>
      <c r="CP109" s="111"/>
      <c r="CQ109" s="111"/>
      <c r="CR109" s="111"/>
      <c r="CS109" s="111"/>
      <c r="CT109" s="111"/>
      <c r="CU109" s="111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49"/>
      <c r="FF109" s="49"/>
      <c r="FG109" s="49"/>
      <c r="FH109" s="49"/>
      <c r="FI109" s="49"/>
      <c r="FJ109" s="49"/>
      <c r="FK109" s="49"/>
      <c r="FL109" s="49"/>
      <c r="FM109" s="49"/>
      <c r="FN109" s="49"/>
      <c r="FO109" s="49"/>
      <c r="FP109" s="49"/>
      <c r="FQ109" s="49"/>
      <c r="FR109" s="49"/>
      <c r="FS109" s="49"/>
      <c r="FT109" s="49"/>
      <c r="FU109" s="49"/>
      <c r="FV109" s="49"/>
      <c r="FW109" s="49"/>
      <c r="FX109" s="49"/>
      <c r="FY109" s="49"/>
      <c r="FZ109" s="49"/>
      <c r="GA109" s="49"/>
      <c r="GB109" s="49"/>
      <c r="GC109" s="49"/>
      <c r="GD109" s="49"/>
      <c r="GE109" s="49"/>
      <c r="GF109" s="49"/>
      <c r="GG109" s="49"/>
      <c r="GH109" s="49"/>
      <c r="GI109" s="49"/>
      <c r="GJ109" s="49"/>
      <c r="GK109" s="49"/>
      <c r="GL109" s="49"/>
      <c r="GM109" s="49"/>
      <c r="GN109" s="49"/>
      <c r="GO109" s="49"/>
      <c r="GP109" s="49"/>
      <c r="GQ109" s="49"/>
      <c r="GR109" s="49"/>
      <c r="GS109" s="49"/>
      <c r="GT109" s="49"/>
      <c r="GU109" s="49"/>
      <c r="GV109" s="49"/>
      <c r="GW109" s="49"/>
      <c r="GX109" s="49"/>
      <c r="GY109" s="49"/>
      <c r="GZ109" s="49"/>
      <c r="HA109" s="49"/>
      <c r="HB109" s="49"/>
      <c r="HC109" s="49"/>
      <c r="HD109" s="49"/>
      <c r="HE109" s="49"/>
      <c r="HF109" s="49"/>
      <c r="HG109" s="49"/>
      <c r="HH109" s="49"/>
      <c r="HI109" s="49"/>
      <c r="HJ109" s="49"/>
      <c r="HK109" s="49"/>
      <c r="HL109" s="49"/>
      <c r="HM109" s="49"/>
      <c r="HN109" s="49"/>
      <c r="HO109" s="49"/>
      <c r="HP109" s="49"/>
      <c r="HQ109" s="49"/>
      <c r="HR109" s="49"/>
      <c r="HS109" s="49"/>
    </row>
    <row r="110" spans="1:227" s="15" customFormat="1" ht="12">
      <c r="A110" s="74" t="s">
        <v>245</v>
      </c>
      <c r="D110" s="15" t="s">
        <v>17</v>
      </c>
      <c r="H110" s="244"/>
      <c r="I110" s="476"/>
      <c r="J110" s="474"/>
      <c r="K110" s="476"/>
      <c r="L110" s="242"/>
      <c r="M110" s="103"/>
      <c r="N110" s="31"/>
      <c r="O110" s="31"/>
      <c r="P110" s="49"/>
      <c r="Q110" s="103"/>
      <c r="R110" s="31"/>
      <c r="S110" s="105"/>
      <c r="T110" s="111"/>
      <c r="U110" s="142"/>
      <c r="V110" s="43"/>
      <c r="W110" s="207"/>
      <c r="X110" s="111"/>
      <c r="Y110" s="142"/>
      <c r="Z110" s="43"/>
      <c r="AA110" s="207"/>
      <c r="AB110" s="111"/>
      <c r="AC110" s="142"/>
      <c r="AD110" s="43"/>
      <c r="AE110" s="207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1"/>
      <c r="AP110" s="111"/>
      <c r="AQ110" s="111"/>
      <c r="AR110" s="111"/>
      <c r="AS110" s="111"/>
      <c r="AT110" s="111"/>
      <c r="AU110" s="111"/>
      <c r="AV110" s="111"/>
      <c r="AW110" s="111"/>
      <c r="AX110" s="111"/>
      <c r="AY110" s="111"/>
      <c r="AZ110" s="111"/>
      <c r="BA110" s="111"/>
      <c r="BB110" s="111"/>
      <c r="BC110" s="111"/>
      <c r="BD110" s="111"/>
      <c r="BE110" s="111"/>
      <c r="BF110" s="111"/>
      <c r="BG110" s="111"/>
      <c r="BH110" s="111"/>
      <c r="BI110" s="111"/>
      <c r="BJ110" s="111"/>
      <c r="BK110" s="111"/>
      <c r="BL110" s="111"/>
      <c r="BM110" s="111"/>
      <c r="BN110" s="111"/>
      <c r="BO110" s="111"/>
      <c r="BP110" s="111"/>
      <c r="BQ110" s="111"/>
      <c r="BR110" s="111"/>
      <c r="BS110" s="111"/>
      <c r="BT110" s="111"/>
      <c r="BU110" s="111"/>
      <c r="BV110" s="111"/>
      <c r="BW110" s="111"/>
      <c r="BX110" s="111"/>
      <c r="BY110" s="111"/>
      <c r="BZ110" s="111"/>
      <c r="CA110" s="111"/>
      <c r="CB110" s="111"/>
      <c r="CC110" s="111"/>
      <c r="CD110" s="111"/>
      <c r="CE110" s="111"/>
      <c r="CF110" s="111"/>
      <c r="CG110" s="111"/>
      <c r="CH110" s="111"/>
      <c r="CI110" s="111"/>
      <c r="CJ110" s="111"/>
      <c r="CK110" s="111"/>
      <c r="CL110" s="111"/>
      <c r="CM110" s="111"/>
      <c r="CN110" s="111"/>
      <c r="CO110" s="111"/>
      <c r="CP110" s="111"/>
      <c r="CQ110" s="111"/>
      <c r="CR110" s="111"/>
      <c r="CS110" s="111"/>
      <c r="CT110" s="111"/>
      <c r="CU110" s="111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49"/>
      <c r="FF110" s="49"/>
      <c r="FG110" s="49"/>
      <c r="FH110" s="49"/>
      <c r="FI110" s="49"/>
      <c r="FJ110" s="49"/>
      <c r="FK110" s="49"/>
      <c r="FL110" s="49"/>
      <c r="FM110" s="49"/>
      <c r="FN110" s="49"/>
      <c r="FO110" s="49"/>
      <c r="FP110" s="49"/>
      <c r="FQ110" s="49"/>
      <c r="FR110" s="49"/>
      <c r="FS110" s="49"/>
      <c r="FT110" s="49"/>
      <c r="FU110" s="49"/>
      <c r="FV110" s="49"/>
      <c r="FW110" s="49"/>
      <c r="FX110" s="49"/>
      <c r="FY110" s="49"/>
      <c r="FZ110" s="49"/>
      <c r="GA110" s="49"/>
      <c r="GB110" s="49"/>
      <c r="GC110" s="49"/>
      <c r="GD110" s="49"/>
      <c r="GE110" s="49"/>
      <c r="GF110" s="49"/>
      <c r="GG110" s="49"/>
      <c r="GH110" s="49"/>
      <c r="GI110" s="49"/>
      <c r="GJ110" s="49"/>
      <c r="GK110" s="49"/>
      <c r="GL110" s="49"/>
      <c r="GM110" s="49"/>
      <c r="GN110" s="49"/>
      <c r="GO110" s="49"/>
      <c r="GP110" s="49"/>
      <c r="GQ110" s="49"/>
      <c r="GR110" s="49"/>
      <c r="GS110" s="49"/>
      <c r="GT110" s="49"/>
      <c r="GU110" s="49"/>
      <c r="GV110" s="49"/>
      <c r="GW110" s="49"/>
      <c r="GX110" s="49"/>
      <c r="GY110" s="49"/>
      <c r="GZ110" s="49"/>
      <c r="HA110" s="49"/>
      <c r="HB110" s="49"/>
      <c r="HC110" s="49"/>
      <c r="HD110" s="49"/>
      <c r="HE110" s="49"/>
      <c r="HF110" s="49"/>
      <c r="HG110" s="49"/>
      <c r="HH110" s="49"/>
      <c r="HI110" s="49"/>
      <c r="HJ110" s="49"/>
      <c r="HK110" s="49"/>
      <c r="HL110" s="49"/>
      <c r="HM110" s="49"/>
      <c r="HN110" s="49"/>
      <c r="HO110" s="49"/>
      <c r="HP110" s="49"/>
      <c r="HQ110" s="49"/>
      <c r="HR110" s="49"/>
      <c r="HS110" s="49"/>
    </row>
    <row r="111" spans="1:227" s="15" customFormat="1" ht="12">
      <c r="A111" s="74" t="s">
        <v>246</v>
      </c>
      <c r="D111" s="15" t="s">
        <v>19</v>
      </c>
      <c r="H111" s="240"/>
      <c r="I111" s="476"/>
      <c r="J111" s="477"/>
      <c r="K111" s="476"/>
      <c r="L111" s="242"/>
      <c r="M111" s="103"/>
      <c r="N111" s="31"/>
      <c r="O111" s="31"/>
      <c r="P111" s="49"/>
      <c r="Q111" s="103"/>
      <c r="R111" s="105"/>
      <c r="S111" s="105"/>
      <c r="T111" s="111"/>
      <c r="U111" s="142"/>
      <c r="V111" s="207"/>
      <c r="W111" s="207"/>
      <c r="X111" s="111"/>
      <c r="Y111" s="142"/>
      <c r="Z111" s="207"/>
      <c r="AA111" s="207"/>
      <c r="AB111" s="111"/>
      <c r="AC111" s="142"/>
      <c r="AD111" s="207"/>
      <c r="AE111" s="207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111"/>
      <c r="AW111" s="111"/>
      <c r="AX111" s="111"/>
      <c r="AY111" s="111"/>
      <c r="AZ111" s="111"/>
      <c r="BA111" s="111"/>
      <c r="BB111" s="111"/>
      <c r="BC111" s="111"/>
      <c r="BD111" s="111"/>
      <c r="BE111" s="111"/>
      <c r="BF111" s="111"/>
      <c r="BG111" s="111"/>
      <c r="BH111" s="111"/>
      <c r="BI111" s="111"/>
      <c r="BJ111" s="111"/>
      <c r="BK111" s="111"/>
      <c r="BL111" s="111"/>
      <c r="BM111" s="111"/>
      <c r="BN111" s="111"/>
      <c r="BO111" s="111"/>
      <c r="BP111" s="111"/>
      <c r="BQ111" s="111"/>
      <c r="BR111" s="111"/>
      <c r="BS111" s="111"/>
      <c r="BT111" s="111"/>
      <c r="BU111" s="111"/>
      <c r="BV111" s="111"/>
      <c r="BW111" s="111"/>
      <c r="BX111" s="111"/>
      <c r="BY111" s="111"/>
      <c r="BZ111" s="111"/>
      <c r="CA111" s="111"/>
      <c r="CB111" s="111"/>
      <c r="CC111" s="111"/>
      <c r="CD111" s="111"/>
      <c r="CE111" s="111"/>
      <c r="CF111" s="111"/>
      <c r="CG111" s="111"/>
      <c r="CH111" s="111"/>
      <c r="CI111" s="111"/>
      <c r="CJ111" s="111"/>
      <c r="CK111" s="111"/>
      <c r="CL111" s="111"/>
      <c r="CM111" s="111"/>
      <c r="CN111" s="111"/>
      <c r="CO111" s="111"/>
      <c r="CP111" s="111"/>
      <c r="CQ111" s="111"/>
      <c r="CR111" s="111"/>
      <c r="CS111" s="111"/>
      <c r="CT111" s="111"/>
      <c r="CU111" s="111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/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49"/>
      <c r="FF111" s="49"/>
      <c r="FG111" s="49"/>
      <c r="FH111" s="49"/>
      <c r="FI111" s="49"/>
      <c r="FJ111" s="49"/>
      <c r="FK111" s="49"/>
      <c r="FL111" s="49"/>
      <c r="FM111" s="49"/>
      <c r="FN111" s="49"/>
      <c r="FO111" s="49"/>
      <c r="FP111" s="49"/>
      <c r="FQ111" s="49"/>
      <c r="FR111" s="49"/>
      <c r="FS111" s="49"/>
      <c r="FT111" s="49"/>
      <c r="FU111" s="49"/>
      <c r="FV111" s="49"/>
      <c r="FW111" s="49"/>
      <c r="FX111" s="49"/>
      <c r="FY111" s="49"/>
      <c r="FZ111" s="49"/>
      <c r="GA111" s="49"/>
      <c r="GB111" s="49"/>
      <c r="GC111" s="49"/>
      <c r="GD111" s="49"/>
      <c r="GE111" s="49"/>
      <c r="GF111" s="49"/>
      <c r="GG111" s="49"/>
      <c r="GH111" s="49"/>
      <c r="GI111" s="49"/>
      <c r="GJ111" s="49"/>
      <c r="GK111" s="49"/>
      <c r="GL111" s="49"/>
      <c r="GM111" s="49"/>
      <c r="GN111" s="49"/>
      <c r="GO111" s="49"/>
      <c r="GP111" s="49"/>
      <c r="GQ111" s="49"/>
      <c r="GR111" s="49"/>
      <c r="GS111" s="49"/>
      <c r="GT111" s="49"/>
      <c r="GU111" s="49"/>
      <c r="GV111" s="49"/>
      <c r="GW111" s="49"/>
      <c r="GX111" s="49"/>
      <c r="GY111" s="49"/>
      <c r="GZ111" s="49"/>
      <c r="HA111" s="49"/>
      <c r="HB111" s="49"/>
      <c r="HC111" s="49"/>
      <c r="HD111" s="49"/>
      <c r="HE111" s="49"/>
      <c r="HF111" s="49"/>
      <c r="HG111" s="49"/>
      <c r="HH111" s="49"/>
      <c r="HI111" s="49"/>
      <c r="HJ111" s="49"/>
      <c r="HK111" s="49"/>
      <c r="HL111" s="49"/>
      <c r="HM111" s="49"/>
      <c r="HN111" s="49"/>
      <c r="HO111" s="49"/>
      <c r="HP111" s="49"/>
      <c r="HQ111" s="49"/>
      <c r="HR111" s="49"/>
      <c r="HS111" s="49"/>
    </row>
    <row r="112" spans="1:227" s="15" customFormat="1" ht="12">
      <c r="A112" s="74"/>
      <c r="C112" s="15" t="s">
        <v>20</v>
      </c>
      <c r="H112" s="136"/>
      <c r="I112" s="476"/>
      <c r="J112" s="477"/>
      <c r="K112" s="476"/>
      <c r="L112" s="242"/>
      <c r="M112" s="103"/>
      <c r="N112" s="31"/>
      <c r="O112" s="31"/>
      <c r="P112" s="49"/>
      <c r="Q112" s="103"/>
      <c r="R112" s="105"/>
      <c r="S112" s="105"/>
      <c r="T112" s="111"/>
      <c r="U112" s="142"/>
      <c r="V112" s="207"/>
      <c r="W112" s="207"/>
      <c r="X112" s="111"/>
      <c r="Y112" s="142"/>
      <c r="Z112" s="207"/>
      <c r="AA112" s="207"/>
      <c r="AB112" s="111"/>
      <c r="AC112" s="142"/>
      <c r="AD112" s="207"/>
      <c r="AE112" s="207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  <c r="AW112" s="111"/>
      <c r="AX112" s="111"/>
      <c r="AY112" s="111"/>
      <c r="AZ112" s="111"/>
      <c r="BA112" s="111"/>
      <c r="BB112" s="111"/>
      <c r="BC112" s="111"/>
      <c r="BD112" s="111"/>
      <c r="BE112" s="111"/>
      <c r="BF112" s="111"/>
      <c r="BG112" s="111"/>
      <c r="BH112" s="111"/>
      <c r="BI112" s="111"/>
      <c r="BJ112" s="111"/>
      <c r="BK112" s="111"/>
      <c r="BL112" s="111"/>
      <c r="BM112" s="111"/>
      <c r="BN112" s="111"/>
      <c r="BO112" s="111"/>
      <c r="BP112" s="111"/>
      <c r="BQ112" s="111"/>
      <c r="BR112" s="111"/>
      <c r="BS112" s="111"/>
      <c r="BT112" s="111"/>
      <c r="BU112" s="111"/>
      <c r="BV112" s="111"/>
      <c r="BW112" s="111"/>
      <c r="BX112" s="111"/>
      <c r="BY112" s="111"/>
      <c r="BZ112" s="111"/>
      <c r="CA112" s="111"/>
      <c r="CB112" s="111"/>
      <c r="CC112" s="111"/>
      <c r="CD112" s="111"/>
      <c r="CE112" s="111"/>
      <c r="CF112" s="111"/>
      <c r="CG112" s="111"/>
      <c r="CH112" s="111"/>
      <c r="CI112" s="111"/>
      <c r="CJ112" s="111"/>
      <c r="CK112" s="111"/>
      <c r="CL112" s="111"/>
      <c r="CM112" s="111"/>
      <c r="CN112" s="111"/>
      <c r="CO112" s="111"/>
      <c r="CP112" s="111"/>
      <c r="CQ112" s="111"/>
      <c r="CR112" s="111"/>
      <c r="CS112" s="111"/>
      <c r="CT112" s="111"/>
      <c r="CU112" s="111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49"/>
      <c r="ES112" s="49"/>
      <c r="ET112" s="49"/>
      <c r="EU112" s="49"/>
      <c r="EV112" s="49"/>
      <c r="EW112" s="49"/>
      <c r="EX112" s="49"/>
      <c r="EY112" s="49"/>
      <c r="EZ112" s="49"/>
      <c r="FA112" s="49"/>
      <c r="FB112" s="49"/>
      <c r="FC112" s="49"/>
      <c r="FD112" s="49"/>
      <c r="FE112" s="49"/>
      <c r="FF112" s="49"/>
      <c r="FG112" s="49"/>
      <c r="FH112" s="49"/>
      <c r="FI112" s="49"/>
      <c r="FJ112" s="49"/>
      <c r="FK112" s="49"/>
      <c r="FL112" s="49"/>
      <c r="FM112" s="49"/>
      <c r="FN112" s="49"/>
      <c r="FO112" s="49"/>
      <c r="FP112" s="49"/>
      <c r="FQ112" s="49"/>
      <c r="FR112" s="49"/>
      <c r="FS112" s="49"/>
      <c r="FT112" s="49"/>
      <c r="FU112" s="49"/>
      <c r="FV112" s="49"/>
      <c r="FW112" s="49"/>
      <c r="FX112" s="49"/>
      <c r="FY112" s="49"/>
      <c r="FZ112" s="49"/>
      <c r="GA112" s="49"/>
      <c r="GB112" s="49"/>
      <c r="GC112" s="49"/>
      <c r="GD112" s="49"/>
      <c r="GE112" s="49"/>
      <c r="GF112" s="49"/>
      <c r="GG112" s="49"/>
      <c r="GH112" s="49"/>
      <c r="GI112" s="49"/>
      <c r="GJ112" s="49"/>
      <c r="GK112" s="49"/>
      <c r="GL112" s="49"/>
      <c r="GM112" s="49"/>
      <c r="GN112" s="49"/>
      <c r="GO112" s="49"/>
      <c r="GP112" s="49"/>
      <c r="GQ112" s="49"/>
      <c r="GR112" s="49"/>
      <c r="GS112" s="49"/>
      <c r="GT112" s="49"/>
      <c r="GU112" s="49"/>
      <c r="GV112" s="49"/>
      <c r="GW112" s="49"/>
      <c r="GX112" s="49"/>
      <c r="GY112" s="49"/>
      <c r="GZ112" s="49"/>
      <c r="HA112" s="49"/>
      <c r="HB112" s="49"/>
      <c r="HC112" s="49"/>
      <c r="HD112" s="49"/>
      <c r="HE112" s="49"/>
      <c r="HF112" s="49"/>
      <c r="HG112" s="49"/>
      <c r="HH112" s="49"/>
      <c r="HI112" s="49"/>
      <c r="HJ112" s="49"/>
      <c r="HK112" s="49"/>
      <c r="HL112" s="49"/>
      <c r="HM112" s="49"/>
      <c r="HN112" s="49"/>
      <c r="HO112" s="49"/>
      <c r="HP112" s="49"/>
      <c r="HQ112" s="49"/>
      <c r="HR112" s="49"/>
      <c r="HS112" s="49"/>
    </row>
    <row r="113" spans="1:227" s="15" customFormat="1" ht="12">
      <c r="A113" s="74"/>
      <c r="B113" s="15" t="s">
        <v>189</v>
      </c>
      <c r="H113" s="136"/>
      <c r="I113" s="476"/>
      <c r="J113" s="477"/>
      <c r="K113" s="476"/>
      <c r="L113" s="242"/>
      <c r="M113" s="103"/>
      <c r="N113" s="226"/>
      <c r="O113" s="31"/>
      <c r="P113" s="49"/>
      <c r="Q113" s="103"/>
      <c r="R113" s="105"/>
      <c r="S113" s="105"/>
      <c r="T113" s="111"/>
      <c r="U113" s="142"/>
      <c r="V113" s="207"/>
      <c r="W113" s="207"/>
      <c r="X113" s="111"/>
      <c r="Y113" s="142"/>
      <c r="Z113" s="207"/>
      <c r="AA113" s="207"/>
      <c r="AB113" s="111"/>
      <c r="AC113" s="142"/>
      <c r="AD113" s="207"/>
      <c r="AE113" s="207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111"/>
      <c r="AZ113" s="111"/>
      <c r="BA113" s="111"/>
      <c r="BB113" s="111"/>
      <c r="BC113" s="111"/>
      <c r="BD113" s="111"/>
      <c r="BE113" s="111"/>
      <c r="BF113" s="111"/>
      <c r="BG113" s="111"/>
      <c r="BH113" s="111"/>
      <c r="BI113" s="111"/>
      <c r="BJ113" s="111"/>
      <c r="BK113" s="111"/>
      <c r="BL113" s="111"/>
      <c r="BM113" s="111"/>
      <c r="BN113" s="111"/>
      <c r="BO113" s="111"/>
      <c r="BP113" s="111"/>
      <c r="BQ113" s="111"/>
      <c r="BR113" s="111"/>
      <c r="BS113" s="111"/>
      <c r="BT113" s="111"/>
      <c r="BU113" s="111"/>
      <c r="BV113" s="111"/>
      <c r="BW113" s="111"/>
      <c r="BX113" s="111"/>
      <c r="BY113" s="111"/>
      <c r="BZ113" s="111"/>
      <c r="CA113" s="111"/>
      <c r="CB113" s="111"/>
      <c r="CC113" s="111"/>
      <c r="CD113" s="111"/>
      <c r="CE113" s="111"/>
      <c r="CF113" s="111"/>
      <c r="CG113" s="111"/>
      <c r="CH113" s="111"/>
      <c r="CI113" s="111"/>
      <c r="CJ113" s="111"/>
      <c r="CK113" s="111"/>
      <c r="CL113" s="111"/>
      <c r="CM113" s="111"/>
      <c r="CN113" s="111"/>
      <c r="CO113" s="111"/>
      <c r="CP113" s="111"/>
      <c r="CQ113" s="111"/>
      <c r="CR113" s="111"/>
      <c r="CS113" s="111"/>
      <c r="CT113" s="111"/>
      <c r="CU113" s="111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49"/>
      <c r="ES113" s="49"/>
      <c r="ET113" s="49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49"/>
      <c r="FF113" s="49"/>
      <c r="FG113" s="49"/>
      <c r="FH113" s="49"/>
      <c r="FI113" s="49"/>
      <c r="FJ113" s="49"/>
      <c r="FK113" s="49"/>
      <c r="FL113" s="49"/>
      <c r="FM113" s="49"/>
      <c r="FN113" s="49"/>
      <c r="FO113" s="49"/>
      <c r="FP113" s="49"/>
      <c r="FQ113" s="49"/>
      <c r="FR113" s="49"/>
      <c r="FS113" s="49"/>
      <c r="FT113" s="49"/>
      <c r="FU113" s="49"/>
      <c r="FV113" s="49"/>
      <c r="FW113" s="49"/>
      <c r="FX113" s="49"/>
      <c r="FY113" s="49"/>
      <c r="FZ113" s="49"/>
      <c r="GA113" s="49"/>
      <c r="GB113" s="49"/>
      <c r="GC113" s="49"/>
      <c r="GD113" s="49"/>
      <c r="GE113" s="49"/>
      <c r="GF113" s="49"/>
      <c r="GG113" s="49"/>
      <c r="GH113" s="49"/>
      <c r="GI113" s="49"/>
      <c r="GJ113" s="49"/>
      <c r="GK113" s="49"/>
      <c r="GL113" s="49"/>
      <c r="GM113" s="49"/>
      <c r="GN113" s="49"/>
      <c r="GO113" s="49"/>
      <c r="GP113" s="49"/>
      <c r="GQ113" s="49"/>
      <c r="GR113" s="49"/>
      <c r="GS113" s="49"/>
      <c r="GT113" s="49"/>
      <c r="GU113" s="49"/>
      <c r="GV113" s="49"/>
      <c r="GW113" s="49"/>
      <c r="GX113" s="49"/>
      <c r="GY113" s="49"/>
      <c r="GZ113" s="49"/>
      <c r="HA113" s="49"/>
      <c r="HB113" s="49"/>
      <c r="HC113" s="49"/>
      <c r="HD113" s="49"/>
      <c r="HE113" s="49"/>
      <c r="HF113" s="49"/>
      <c r="HG113" s="49"/>
      <c r="HH113" s="49"/>
      <c r="HI113" s="49"/>
      <c r="HJ113" s="49"/>
      <c r="HK113" s="49"/>
      <c r="HL113" s="49"/>
      <c r="HM113" s="49"/>
      <c r="HN113" s="49"/>
      <c r="HO113" s="49"/>
      <c r="HP113" s="49"/>
      <c r="HQ113" s="49"/>
      <c r="HR113" s="49"/>
      <c r="HS113" s="49"/>
    </row>
    <row r="114" spans="1:227" s="15" customFormat="1" ht="12">
      <c r="A114" s="337"/>
      <c r="B114" s="230"/>
      <c r="C114" s="230"/>
      <c r="D114" s="230"/>
      <c r="E114" s="230"/>
      <c r="F114" s="230"/>
      <c r="G114" s="230"/>
      <c r="H114" s="136"/>
      <c r="I114" s="476"/>
      <c r="J114" s="477"/>
      <c r="K114" s="476"/>
      <c r="L114" s="242"/>
      <c r="M114" s="103"/>
      <c r="N114" s="226"/>
      <c r="O114" s="31"/>
      <c r="P114" s="49"/>
      <c r="Q114" s="103"/>
      <c r="R114" s="31"/>
      <c r="S114" s="31"/>
      <c r="T114" s="111"/>
      <c r="U114" s="142"/>
      <c r="V114" s="43"/>
      <c r="W114" s="43"/>
      <c r="X114" s="111"/>
      <c r="Y114" s="142"/>
      <c r="Z114" s="43"/>
      <c r="AA114" s="43"/>
      <c r="AB114" s="111"/>
      <c r="AC114" s="142"/>
      <c r="AD114" s="43"/>
      <c r="AE114" s="43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1"/>
      <c r="BB114" s="111"/>
      <c r="BC114" s="111"/>
      <c r="BD114" s="111"/>
      <c r="BE114" s="111"/>
      <c r="BF114" s="111"/>
      <c r="BG114" s="111"/>
      <c r="BH114" s="111"/>
      <c r="BI114" s="111"/>
      <c r="BJ114" s="111"/>
      <c r="BK114" s="111"/>
      <c r="BL114" s="111"/>
      <c r="BM114" s="111"/>
      <c r="BN114" s="111"/>
      <c r="BO114" s="111"/>
      <c r="BP114" s="111"/>
      <c r="BQ114" s="111"/>
      <c r="BR114" s="111"/>
      <c r="BS114" s="111"/>
      <c r="BT114" s="111"/>
      <c r="BU114" s="111"/>
      <c r="BV114" s="111"/>
      <c r="BW114" s="111"/>
      <c r="BX114" s="111"/>
      <c r="BY114" s="111"/>
      <c r="BZ114" s="111"/>
      <c r="CA114" s="111"/>
      <c r="CB114" s="111"/>
      <c r="CC114" s="111"/>
      <c r="CD114" s="111"/>
      <c r="CE114" s="111"/>
      <c r="CF114" s="111"/>
      <c r="CG114" s="111"/>
      <c r="CH114" s="111"/>
      <c r="CI114" s="111"/>
      <c r="CJ114" s="111"/>
      <c r="CK114" s="111"/>
      <c r="CL114" s="111"/>
      <c r="CM114" s="111"/>
      <c r="CN114" s="111"/>
      <c r="CO114" s="111"/>
      <c r="CP114" s="111"/>
      <c r="CQ114" s="111"/>
      <c r="CR114" s="111"/>
      <c r="CS114" s="111"/>
      <c r="CT114" s="111"/>
      <c r="CU114" s="111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49"/>
      <c r="FF114" s="49"/>
      <c r="FG114" s="49"/>
      <c r="FH114" s="49"/>
      <c r="FI114" s="49"/>
      <c r="FJ114" s="49"/>
      <c r="FK114" s="49"/>
      <c r="FL114" s="49"/>
      <c r="FM114" s="49"/>
      <c r="FN114" s="49"/>
      <c r="FO114" s="49"/>
      <c r="FP114" s="49"/>
      <c r="FQ114" s="49"/>
      <c r="FR114" s="49"/>
      <c r="FS114" s="49"/>
      <c r="FT114" s="49"/>
      <c r="FU114" s="49"/>
      <c r="FV114" s="49"/>
      <c r="FW114" s="49"/>
      <c r="FX114" s="49"/>
      <c r="FY114" s="49"/>
      <c r="FZ114" s="49"/>
      <c r="GA114" s="49"/>
      <c r="GB114" s="49"/>
      <c r="GC114" s="49"/>
      <c r="GD114" s="49"/>
      <c r="GE114" s="49"/>
      <c r="GF114" s="49"/>
      <c r="GG114" s="49"/>
      <c r="GH114" s="49"/>
      <c r="GI114" s="49"/>
      <c r="GJ114" s="49"/>
      <c r="GK114" s="49"/>
      <c r="GL114" s="49"/>
      <c r="GM114" s="49"/>
      <c r="GN114" s="49"/>
      <c r="GO114" s="49"/>
      <c r="GP114" s="49"/>
      <c r="GQ114" s="49"/>
      <c r="GR114" s="49"/>
      <c r="GS114" s="49"/>
      <c r="GT114" s="49"/>
      <c r="GU114" s="49"/>
      <c r="GV114" s="49"/>
      <c r="GW114" s="49"/>
      <c r="GX114" s="49"/>
      <c r="GY114" s="49"/>
      <c r="GZ114" s="49"/>
      <c r="HA114" s="49"/>
      <c r="HB114" s="49"/>
      <c r="HC114" s="49"/>
      <c r="HD114" s="49"/>
      <c r="HE114" s="49"/>
      <c r="HF114" s="49"/>
      <c r="HG114" s="49"/>
      <c r="HH114" s="49"/>
      <c r="HI114" s="49"/>
      <c r="HJ114" s="49"/>
      <c r="HK114" s="49"/>
      <c r="HL114" s="49"/>
      <c r="HM114" s="49"/>
      <c r="HN114" s="49"/>
      <c r="HO114" s="49"/>
      <c r="HP114" s="49"/>
      <c r="HQ114" s="49"/>
      <c r="HR114" s="49"/>
      <c r="HS114" s="49"/>
    </row>
    <row r="115" spans="1:227" s="15" customFormat="1" ht="12">
      <c r="A115" s="74" t="s">
        <v>53</v>
      </c>
      <c r="B115" s="86" t="s">
        <v>190</v>
      </c>
      <c r="C115" s="86"/>
      <c r="H115" s="136"/>
      <c r="I115" s="476"/>
      <c r="J115" s="477"/>
      <c r="K115" s="476"/>
      <c r="L115" s="242"/>
      <c r="M115" s="103"/>
      <c r="N115" s="226"/>
      <c r="O115" s="31"/>
      <c r="P115" s="49"/>
      <c r="Q115" s="103"/>
      <c r="R115" s="31"/>
      <c r="S115" s="31"/>
      <c r="T115" s="111"/>
      <c r="U115" s="142"/>
      <c r="V115" s="43"/>
      <c r="W115" s="43"/>
      <c r="X115" s="111"/>
      <c r="Y115" s="142"/>
      <c r="Z115" s="43"/>
      <c r="AA115" s="43"/>
      <c r="AB115" s="111"/>
      <c r="AC115" s="142"/>
      <c r="AD115" s="43"/>
      <c r="AE115" s="43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  <c r="BE115" s="111"/>
      <c r="BF115" s="111"/>
      <c r="BG115" s="111"/>
      <c r="BH115" s="111"/>
      <c r="BI115" s="111"/>
      <c r="BJ115" s="111"/>
      <c r="BK115" s="111"/>
      <c r="BL115" s="111"/>
      <c r="BM115" s="111"/>
      <c r="BN115" s="111"/>
      <c r="BO115" s="111"/>
      <c r="BP115" s="111"/>
      <c r="BQ115" s="111"/>
      <c r="BR115" s="111"/>
      <c r="BS115" s="111"/>
      <c r="BT115" s="111"/>
      <c r="BU115" s="111"/>
      <c r="BV115" s="111"/>
      <c r="BW115" s="111"/>
      <c r="BX115" s="111"/>
      <c r="BY115" s="111"/>
      <c r="BZ115" s="111"/>
      <c r="CA115" s="111"/>
      <c r="CB115" s="111"/>
      <c r="CC115" s="111"/>
      <c r="CD115" s="111"/>
      <c r="CE115" s="111"/>
      <c r="CF115" s="111"/>
      <c r="CG115" s="111"/>
      <c r="CH115" s="111"/>
      <c r="CI115" s="111"/>
      <c r="CJ115" s="111"/>
      <c r="CK115" s="111"/>
      <c r="CL115" s="111"/>
      <c r="CM115" s="111"/>
      <c r="CN115" s="111"/>
      <c r="CO115" s="111"/>
      <c r="CP115" s="111"/>
      <c r="CQ115" s="111"/>
      <c r="CR115" s="111"/>
      <c r="CS115" s="111"/>
      <c r="CT115" s="111"/>
      <c r="CU115" s="111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49"/>
      <c r="DU115" s="49"/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9"/>
      <c r="EL115" s="49"/>
      <c r="EM115" s="49"/>
      <c r="EN115" s="49"/>
      <c r="EO115" s="49"/>
      <c r="EP115" s="49"/>
      <c r="EQ115" s="49"/>
      <c r="ER115" s="49"/>
      <c r="ES115" s="49"/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49"/>
      <c r="FF115" s="49"/>
      <c r="FG115" s="49"/>
      <c r="FH115" s="49"/>
      <c r="FI115" s="49"/>
      <c r="FJ115" s="49"/>
      <c r="FK115" s="49"/>
      <c r="FL115" s="49"/>
      <c r="FM115" s="49"/>
      <c r="FN115" s="49"/>
      <c r="FO115" s="49"/>
      <c r="FP115" s="49"/>
      <c r="FQ115" s="49"/>
      <c r="FR115" s="49"/>
      <c r="FS115" s="49"/>
      <c r="FT115" s="49"/>
      <c r="FU115" s="49"/>
      <c r="FV115" s="49"/>
      <c r="FW115" s="49"/>
      <c r="FX115" s="49"/>
      <c r="FY115" s="49"/>
      <c r="FZ115" s="49"/>
      <c r="GA115" s="49"/>
      <c r="GB115" s="49"/>
      <c r="GC115" s="49"/>
      <c r="GD115" s="49"/>
      <c r="GE115" s="49"/>
      <c r="GF115" s="49"/>
      <c r="GG115" s="49"/>
      <c r="GH115" s="49"/>
      <c r="GI115" s="49"/>
      <c r="GJ115" s="49"/>
      <c r="GK115" s="49"/>
      <c r="GL115" s="49"/>
      <c r="GM115" s="49"/>
      <c r="GN115" s="49"/>
      <c r="GO115" s="49"/>
      <c r="GP115" s="49"/>
      <c r="GQ115" s="49"/>
      <c r="GR115" s="49"/>
      <c r="GS115" s="49"/>
      <c r="GT115" s="49"/>
      <c r="GU115" s="49"/>
      <c r="GV115" s="49"/>
      <c r="GW115" s="49"/>
      <c r="GX115" s="49"/>
      <c r="GY115" s="49"/>
      <c r="GZ115" s="49"/>
      <c r="HA115" s="49"/>
      <c r="HB115" s="49"/>
      <c r="HC115" s="49"/>
      <c r="HD115" s="49"/>
      <c r="HE115" s="49"/>
      <c r="HF115" s="49"/>
      <c r="HG115" s="49"/>
      <c r="HH115" s="49"/>
      <c r="HI115" s="49"/>
      <c r="HJ115" s="49"/>
      <c r="HK115" s="49"/>
      <c r="HL115" s="49"/>
      <c r="HM115" s="49"/>
      <c r="HN115" s="49"/>
      <c r="HO115" s="49"/>
      <c r="HP115" s="49"/>
      <c r="HQ115" s="49"/>
      <c r="HR115" s="49"/>
      <c r="HS115" s="49"/>
    </row>
    <row r="116" spans="1:227" s="15" customFormat="1" ht="12">
      <c r="A116" s="74" t="s">
        <v>247</v>
      </c>
      <c r="C116" s="15" t="s">
        <v>30</v>
      </c>
      <c r="H116" s="127" t="s">
        <v>461</v>
      </c>
      <c r="I116" s="476"/>
      <c r="J116" s="477"/>
      <c r="K116" s="476"/>
      <c r="L116" s="242"/>
      <c r="M116" s="103"/>
      <c r="N116" s="31"/>
      <c r="O116" s="31"/>
      <c r="P116" s="111"/>
      <c r="Q116" s="142"/>
      <c r="R116" s="43"/>
      <c r="S116" s="43"/>
      <c r="T116" s="111"/>
      <c r="U116" s="142"/>
      <c r="V116" s="43"/>
      <c r="W116" s="43"/>
      <c r="X116" s="111"/>
      <c r="Y116" s="142"/>
      <c r="Z116" s="43"/>
      <c r="AA116" s="43"/>
      <c r="AB116" s="111"/>
      <c r="AC116" s="142"/>
      <c r="AD116" s="43"/>
      <c r="AE116" s="43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1"/>
      <c r="BA116" s="111"/>
      <c r="BB116" s="111"/>
      <c r="BC116" s="111"/>
      <c r="BD116" s="111"/>
      <c r="BE116" s="111"/>
      <c r="BF116" s="111"/>
      <c r="BG116" s="111"/>
      <c r="BH116" s="111"/>
      <c r="BI116" s="111"/>
      <c r="BJ116" s="111"/>
      <c r="BK116" s="111"/>
      <c r="BL116" s="111"/>
      <c r="BM116" s="111"/>
      <c r="BN116" s="111"/>
      <c r="BO116" s="111"/>
      <c r="BP116" s="111"/>
      <c r="BQ116" s="111"/>
      <c r="BR116" s="111"/>
      <c r="BS116" s="111"/>
      <c r="BT116" s="111"/>
      <c r="BU116" s="111"/>
      <c r="BV116" s="111"/>
      <c r="BW116" s="111"/>
      <c r="BX116" s="111"/>
      <c r="BY116" s="111"/>
      <c r="BZ116" s="111"/>
      <c r="CA116" s="111"/>
      <c r="CB116" s="111"/>
      <c r="CC116" s="111"/>
      <c r="CD116" s="111"/>
      <c r="CE116" s="111"/>
      <c r="CF116" s="111"/>
      <c r="CG116" s="111"/>
      <c r="CH116" s="111"/>
      <c r="CI116" s="111"/>
      <c r="CJ116" s="111"/>
      <c r="CK116" s="111"/>
      <c r="CL116" s="111"/>
      <c r="CM116" s="111"/>
      <c r="CN116" s="111"/>
      <c r="CO116" s="111"/>
      <c r="CP116" s="111"/>
      <c r="CQ116" s="111"/>
      <c r="CR116" s="111"/>
      <c r="CS116" s="111"/>
      <c r="CT116" s="111"/>
      <c r="CU116" s="111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49"/>
      <c r="DU116" s="49"/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  <c r="EL116" s="49"/>
      <c r="EM116" s="49"/>
      <c r="EN116" s="49"/>
      <c r="EO116" s="49"/>
      <c r="EP116" s="49"/>
      <c r="EQ116" s="49"/>
      <c r="ER116" s="49"/>
      <c r="ES116" s="49"/>
      <c r="ET116" s="49"/>
      <c r="EU116" s="49"/>
      <c r="EV116" s="49"/>
      <c r="EW116" s="49"/>
      <c r="EX116" s="49"/>
      <c r="EY116" s="49"/>
      <c r="EZ116" s="49"/>
      <c r="FA116" s="49"/>
      <c r="FB116" s="49"/>
      <c r="FC116" s="49"/>
      <c r="FD116" s="49"/>
      <c r="FE116" s="49"/>
      <c r="FF116" s="49"/>
      <c r="FG116" s="49"/>
      <c r="FH116" s="49"/>
      <c r="FI116" s="49"/>
      <c r="FJ116" s="49"/>
      <c r="FK116" s="49"/>
      <c r="FL116" s="49"/>
      <c r="FM116" s="49"/>
      <c r="FN116" s="49"/>
      <c r="FO116" s="49"/>
      <c r="FP116" s="49"/>
      <c r="FQ116" s="49"/>
      <c r="FR116" s="49"/>
      <c r="FS116" s="49"/>
      <c r="FT116" s="49"/>
      <c r="FU116" s="49"/>
      <c r="FV116" s="49"/>
      <c r="FW116" s="49"/>
      <c r="FX116" s="49"/>
      <c r="FY116" s="49"/>
      <c r="FZ116" s="49"/>
      <c r="GA116" s="49"/>
      <c r="GB116" s="49"/>
      <c r="GC116" s="49"/>
      <c r="GD116" s="49"/>
      <c r="GE116" s="49"/>
      <c r="GF116" s="49"/>
      <c r="GG116" s="49"/>
      <c r="GH116" s="49"/>
      <c r="GI116" s="49"/>
      <c r="GJ116" s="49"/>
      <c r="GK116" s="49"/>
      <c r="GL116" s="49"/>
      <c r="GM116" s="49"/>
      <c r="GN116" s="49"/>
      <c r="GO116" s="49"/>
      <c r="GP116" s="49"/>
      <c r="GQ116" s="49"/>
      <c r="GR116" s="49"/>
      <c r="GS116" s="49"/>
      <c r="GT116" s="49"/>
      <c r="GU116" s="49"/>
      <c r="GV116" s="49"/>
      <c r="GW116" s="49"/>
      <c r="GX116" s="49"/>
      <c r="GY116" s="49"/>
      <c r="GZ116" s="49"/>
      <c r="HA116" s="49"/>
      <c r="HB116" s="49"/>
      <c r="HC116" s="49"/>
      <c r="HD116" s="49"/>
      <c r="HE116" s="49"/>
      <c r="HF116" s="49"/>
      <c r="HG116" s="49"/>
      <c r="HH116" s="49"/>
      <c r="HI116" s="49"/>
      <c r="HJ116" s="49"/>
      <c r="HK116" s="49"/>
      <c r="HL116" s="49"/>
      <c r="HM116" s="49"/>
      <c r="HN116" s="49"/>
      <c r="HO116" s="49"/>
      <c r="HP116" s="49"/>
      <c r="HQ116" s="49"/>
      <c r="HR116" s="49"/>
      <c r="HS116" s="49"/>
    </row>
    <row r="117" spans="1:99" s="15" customFormat="1" ht="12">
      <c r="A117" s="74"/>
      <c r="C117" s="15" t="s">
        <v>10</v>
      </c>
      <c r="H117" s="136" t="s">
        <v>429</v>
      </c>
      <c r="I117" s="476"/>
      <c r="J117" s="477"/>
      <c r="K117" s="476"/>
      <c r="L117" s="242"/>
      <c r="M117" s="103"/>
      <c r="N117" s="31"/>
      <c r="O117" s="31"/>
      <c r="P117" s="49"/>
      <c r="Q117" s="49"/>
      <c r="R117" s="31"/>
      <c r="S117" s="105"/>
      <c r="T117" s="111"/>
      <c r="U117" s="111"/>
      <c r="V117" s="43"/>
      <c r="W117" s="207"/>
      <c r="X117" s="111"/>
      <c r="Y117" s="111"/>
      <c r="Z117" s="43"/>
      <c r="AA117" s="207"/>
      <c r="AB117" s="111"/>
      <c r="AC117" s="111"/>
      <c r="AD117" s="43"/>
      <c r="AE117" s="207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6"/>
      <c r="CE117" s="86"/>
      <c r="CF117" s="86"/>
      <c r="CG117" s="86"/>
      <c r="CH117" s="86"/>
      <c r="CI117" s="86"/>
      <c r="CJ117" s="86"/>
      <c r="CK117" s="86"/>
      <c r="CL117" s="86"/>
      <c r="CM117" s="86"/>
      <c r="CN117" s="86"/>
      <c r="CO117" s="86"/>
      <c r="CP117" s="86"/>
      <c r="CQ117" s="86"/>
      <c r="CR117" s="86"/>
      <c r="CS117" s="86"/>
      <c r="CT117" s="86"/>
      <c r="CU117" s="86"/>
    </row>
    <row r="118" spans="1:99" s="15" customFormat="1" ht="60">
      <c r="A118" s="74" t="s">
        <v>248</v>
      </c>
      <c r="D118" s="15" t="s">
        <v>11</v>
      </c>
      <c r="H118" s="127" t="s">
        <v>441</v>
      </c>
      <c r="I118" s="242"/>
      <c r="J118" s="127" t="s">
        <v>502</v>
      </c>
      <c r="K118" s="242"/>
      <c r="L118" s="242"/>
      <c r="M118" s="103"/>
      <c r="N118" s="31"/>
      <c r="O118" s="31"/>
      <c r="P118" s="49"/>
      <c r="Q118" s="49"/>
      <c r="R118" s="31"/>
      <c r="S118" s="105"/>
      <c r="T118" s="111"/>
      <c r="U118" s="111"/>
      <c r="V118" s="43"/>
      <c r="W118" s="207"/>
      <c r="X118" s="111"/>
      <c r="Y118" s="111"/>
      <c r="Z118" s="43"/>
      <c r="AA118" s="207"/>
      <c r="AB118" s="111"/>
      <c r="AC118" s="111"/>
      <c r="AD118" s="43"/>
      <c r="AE118" s="207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6"/>
      <c r="CC118" s="86"/>
      <c r="CD118" s="86"/>
      <c r="CE118" s="86"/>
      <c r="CF118" s="86"/>
      <c r="CG118" s="86"/>
      <c r="CH118" s="86"/>
      <c r="CI118" s="86"/>
      <c r="CJ118" s="86"/>
      <c r="CK118" s="86"/>
      <c r="CL118" s="86"/>
      <c r="CM118" s="86"/>
      <c r="CN118" s="86"/>
      <c r="CO118" s="86"/>
      <c r="CP118" s="86"/>
      <c r="CQ118" s="86"/>
      <c r="CR118" s="86"/>
      <c r="CS118" s="86"/>
      <c r="CT118" s="86"/>
      <c r="CU118" s="86"/>
    </row>
    <row r="119" spans="1:99" s="15" customFormat="1" ht="12">
      <c r="A119" s="74" t="s">
        <v>249</v>
      </c>
      <c r="D119" s="15" t="s">
        <v>12</v>
      </c>
      <c r="H119" s="121" t="s">
        <v>442</v>
      </c>
      <c r="I119" s="476"/>
      <c r="J119" s="477"/>
      <c r="K119" s="476"/>
      <c r="L119" s="242"/>
      <c r="M119" s="103"/>
      <c r="N119" s="31"/>
      <c r="O119" s="31"/>
      <c r="P119" s="49"/>
      <c r="Q119" s="49"/>
      <c r="R119" s="226"/>
      <c r="S119" s="105"/>
      <c r="T119" s="111"/>
      <c r="U119" s="111"/>
      <c r="V119" s="227"/>
      <c r="W119" s="207"/>
      <c r="X119" s="111"/>
      <c r="Y119" s="111"/>
      <c r="Z119" s="227"/>
      <c r="AA119" s="207"/>
      <c r="AB119" s="111"/>
      <c r="AC119" s="111"/>
      <c r="AD119" s="227"/>
      <c r="AE119" s="207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/>
      <c r="CA119" s="86"/>
      <c r="CB119" s="86"/>
      <c r="CC119" s="86"/>
      <c r="CD119" s="86"/>
      <c r="CE119" s="86"/>
      <c r="CF119" s="86"/>
      <c r="CG119" s="86"/>
      <c r="CH119" s="86"/>
      <c r="CI119" s="86"/>
      <c r="CJ119" s="86"/>
      <c r="CK119" s="86"/>
      <c r="CL119" s="86"/>
      <c r="CM119" s="86"/>
      <c r="CN119" s="86"/>
      <c r="CO119" s="86"/>
      <c r="CP119" s="86"/>
      <c r="CQ119" s="86"/>
      <c r="CR119" s="86"/>
      <c r="CS119" s="86"/>
      <c r="CT119" s="86"/>
      <c r="CU119" s="86"/>
    </row>
    <row r="120" spans="1:99" s="15" customFormat="1" ht="12">
      <c r="A120" s="74" t="s">
        <v>250</v>
      </c>
      <c r="D120" s="15" t="s">
        <v>13</v>
      </c>
      <c r="H120" s="127"/>
      <c r="I120" s="476"/>
      <c r="J120" s="477"/>
      <c r="K120" s="476"/>
      <c r="L120" s="242"/>
      <c r="M120" s="103"/>
      <c r="N120" s="31"/>
      <c r="O120" s="31"/>
      <c r="P120" s="49"/>
      <c r="Q120" s="49"/>
      <c r="R120" s="226"/>
      <c r="S120" s="105"/>
      <c r="T120" s="111"/>
      <c r="U120" s="111"/>
      <c r="V120" s="227"/>
      <c r="W120" s="207"/>
      <c r="X120" s="111"/>
      <c r="Y120" s="111"/>
      <c r="Z120" s="227"/>
      <c r="AA120" s="207"/>
      <c r="AB120" s="111"/>
      <c r="AC120" s="111"/>
      <c r="AD120" s="227"/>
      <c r="AE120" s="207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86"/>
      <c r="CC120" s="86"/>
      <c r="CD120" s="86"/>
      <c r="CE120" s="86"/>
      <c r="CF120" s="86"/>
      <c r="CG120" s="86"/>
      <c r="CH120" s="86"/>
      <c r="CI120" s="86"/>
      <c r="CJ120" s="86"/>
      <c r="CK120" s="86"/>
      <c r="CL120" s="86"/>
      <c r="CM120" s="86"/>
      <c r="CN120" s="86"/>
      <c r="CO120" s="86"/>
      <c r="CP120" s="86"/>
      <c r="CQ120" s="86"/>
      <c r="CR120" s="86"/>
      <c r="CS120" s="86"/>
      <c r="CT120" s="86"/>
      <c r="CU120" s="86"/>
    </row>
    <row r="121" spans="1:99" s="15" customFormat="1" ht="12">
      <c r="A121" s="74" t="s">
        <v>251</v>
      </c>
      <c r="D121" s="15" t="s">
        <v>14</v>
      </c>
      <c r="H121" s="127" t="s">
        <v>443</v>
      </c>
      <c r="I121" s="476"/>
      <c r="J121" s="477"/>
      <c r="K121" s="476"/>
      <c r="L121" s="242"/>
      <c r="M121" s="103"/>
      <c r="N121" s="31"/>
      <c r="O121" s="31"/>
      <c r="P121" s="49"/>
      <c r="Q121" s="49"/>
      <c r="R121" s="226"/>
      <c r="S121" s="105"/>
      <c r="T121" s="111"/>
      <c r="U121" s="111"/>
      <c r="V121" s="227"/>
      <c r="W121" s="207"/>
      <c r="X121" s="111"/>
      <c r="Y121" s="111"/>
      <c r="Z121" s="227"/>
      <c r="AA121" s="207"/>
      <c r="AB121" s="111"/>
      <c r="AC121" s="111"/>
      <c r="AD121" s="227"/>
      <c r="AE121" s="207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86"/>
      <c r="CM121" s="86"/>
      <c r="CN121" s="86"/>
      <c r="CO121" s="86"/>
      <c r="CP121" s="86"/>
      <c r="CQ121" s="86"/>
      <c r="CR121" s="86"/>
      <c r="CS121" s="86"/>
      <c r="CT121" s="86"/>
      <c r="CU121" s="86"/>
    </row>
    <row r="122" spans="1:99" s="15" customFormat="1" ht="12">
      <c r="A122" s="74"/>
      <c r="C122" s="15" t="s">
        <v>15</v>
      </c>
      <c r="H122" s="127"/>
      <c r="I122" s="476"/>
      <c r="J122" s="477"/>
      <c r="K122" s="476"/>
      <c r="L122" s="242"/>
      <c r="M122" s="103"/>
      <c r="N122" s="31"/>
      <c r="O122" s="31"/>
      <c r="P122" s="49"/>
      <c r="Q122" s="49"/>
      <c r="R122" s="104"/>
      <c r="S122" s="105"/>
      <c r="T122" s="111"/>
      <c r="U122" s="111"/>
      <c r="V122" s="206"/>
      <c r="W122" s="207"/>
      <c r="X122" s="111"/>
      <c r="Y122" s="111"/>
      <c r="Z122" s="206"/>
      <c r="AA122" s="207"/>
      <c r="AB122" s="111"/>
      <c r="AC122" s="111"/>
      <c r="AD122" s="206"/>
      <c r="AE122" s="207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A122" s="86"/>
      <c r="CB122" s="86"/>
      <c r="CC122" s="86"/>
      <c r="CD122" s="86"/>
      <c r="CE122" s="86"/>
      <c r="CF122" s="86"/>
      <c r="CG122" s="86"/>
      <c r="CH122" s="86"/>
      <c r="CI122" s="86"/>
      <c r="CJ122" s="86"/>
      <c r="CK122" s="86"/>
      <c r="CL122" s="86"/>
      <c r="CM122" s="86"/>
      <c r="CN122" s="86"/>
      <c r="CO122" s="86"/>
      <c r="CP122" s="86"/>
      <c r="CQ122" s="86"/>
      <c r="CR122" s="86"/>
      <c r="CS122" s="86"/>
      <c r="CT122" s="86"/>
      <c r="CU122" s="86"/>
    </row>
    <row r="123" spans="1:99" s="15" customFormat="1" ht="12">
      <c r="A123" s="74" t="s">
        <v>252</v>
      </c>
      <c r="D123" s="15" t="s">
        <v>11</v>
      </c>
      <c r="H123" s="127"/>
      <c r="I123" s="476"/>
      <c r="J123" s="477"/>
      <c r="K123" s="476"/>
      <c r="L123" s="242"/>
      <c r="M123" s="103"/>
      <c r="N123" s="31"/>
      <c r="O123" s="31"/>
      <c r="P123" s="49"/>
      <c r="Q123" s="103"/>
      <c r="R123" s="31"/>
      <c r="S123" s="105"/>
      <c r="T123" s="111"/>
      <c r="U123" s="142"/>
      <c r="V123" s="43"/>
      <c r="W123" s="207"/>
      <c r="X123" s="111"/>
      <c r="Y123" s="142"/>
      <c r="Z123" s="43"/>
      <c r="AA123" s="207"/>
      <c r="AB123" s="111"/>
      <c r="AC123" s="142"/>
      <c r="AD123" s="43"/>
      <c r="AE123" s="207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6"/>
      <c r="CC123" s="86"/>
      <c r="CD123" s="86"/>
      <c r="CE123" s="86"/>
      <c r="CF123" s="86"/>
      <c r="CG123" s="86"/>
      <c r="CH123" s="86"/>
      <c r="CI123" s="86"/>
      <c r="CJ123" s="86"/>
      <c r="CK123" s="86"/>
      <c r="CL123" s="86"/>
      <c r="CM123" s="86"/>
      <c r="CN123" s="86"/>
      <c r="CO123" s="86"/>
      <c r="CP123" s="86"/>
      <c r="CQ123" s="86"/>
      <c r="CR123" s="86"/>
      <c r="CS123" s="86"/>
      <c r="CT123" s="86"/>
      <c r="CU123" s="86"/>
    </row>
    <row r="124" spans="1:99" s="15" customFormat="1" ht="12">
      <c r="A124" s="74" t="s">
        <v>253</v>
      </c>
      <c r="D124" s="15" t="s">
        <v>12</v>
      </c>
      <c r="H124" s="127"/>
      <c r="I124" s="476"/>
      <c r="J124" s="477"/>
      <c r="K124" s="476"/>
      <c r="L124" s="242"/>
      <c r="M124" s="103"/>
      <c r="N124" s="31"/>
      <c r="O124" s="31"/>
      <c r="P124" s="49"/>
      <c r="Q124" s="103"/>
      <c r="R124" s="105"/>
      <c r="S124" s="105"/>
      <c r="T124" s="111"/>
      <c r="U124" s="228"/>
      <c r="V124" s="207"/>
      <c r="W124" s="207"/>
      <c r="X124" s="111"/>
      <c r="Y124" s="228"/>
      <c r="Z124" s="207"/>
      <c r="AA124" s="207"/>
      <c r="AB124" s="111"/>
      <c r="AC124" s="228"/>
      <c r="AD124" s="207"/>
      <c r="AE124" s="207"/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6"/>
      <c r="CC124" s="86"/>
      <c r="CD124" s="86"/>
      <c r="CE124" s="86"/>
      <c r="CF124" s="86"/>
      <c r="CG124" s="86"/>
      <c r="CH124" s="86"/>
      <c r="CI124" s="86"/>
      <c r="CJ124" s="86"/>
      <c r="CK124" s="86"/>
      <c r="CL124" s="86"/>
      <c r="CM124" s="86"/>
      <c r="CN124" s="86"/>
      <c r="CO124" s="86"/>
      <c r="CP124" s="86"/>
      <c r="CQ124" s="86"/>
      <c r="CR124" s="86"/>
      <c r="CS124" s="86"/>
      <c r="CT124" s="86"/>
      <c r="CU124" s="86"/>
    </row>
    <row r="125" spans="1:99" s="15" customFormat="1" ht="12">
      <c r="A125" s="74" t="s">
        <v>254</v>
      </c>
      <c r="D125" s="15" t="s">
        <v>13</v>
      </c>
      <c r="H125" s="127"/>
      <c r="I125" s="476"/>
      <c r="J125" s="474"/>
      <c r="K125" s="476"/>
      <c r="L125" s="242"/>
      <c r="M125" s="103"/>
      <c r="N125" s="31"/>
      <c r="O125" s="31"/>
      <c r="P125" s="49"/>
      <c r="Q125" s="103"/>
      <c r="R125" s="104"/>
      <c r="S125" s="105"/>
      <c r="T125" s="111"/>
      <c r="U125" s="142"/>
      <c r="V125" s="206"/>
      <c r="W125" s="207"/>
      <c r="X125" s="111"/>
      <c r="Y125" s="142"/>
      <c r="Z125" s="206"/>
      <c r="AA125" s="207"/>
      <c r="AB125" s="111"/>
      <c r="AC125" s="142"/>
      <c r="AD125" s="206"/>
      <c r="AE125" s="207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6"/>
      <c r="CC125" s="86"/>
      <c r="CD125" s="86"/>
      <c r="CE125" s="86"/>
      <c r="CF125" s="86"/>
      <c r="CG125" s="86"/>
      <c r="CH125" s="86"/>
      <c r="CI125" s="86"/>
      <c r="CJ125" s="86"/>
      <c r="CK125" s="86"/>
      <c r="CL125" s="86"/>
      <c r="CM125" s="86"/>
      <c r="CN125" s="86"/>
      <c r="CO125" s="86"/>
      <c r="CP125" s="86"/>
      <c r="CQ125" s="86"/>
      <c r="CR125" s="86"/>
      <c r="CS125" s="86"/>
      <c r="CT125" s="86"/>
      <c r="CU125" s="86"/>
    </row>
    <row r="126" spans="1:99" s="15" customFormat="1" ht="12">
      <c r="A126" s="74" t="s">
        <v>255</v>
      </c>
      <c r="D126" s="15" t="s">
        <v>14</v>
      </c>
      <c r="H126" s="127"/>
      <c r="I126" s="476"/>
      <c r="J126" s="476"/>
      <c r="K126" s="476"/>
      <c r="L126" s="242"/>
      <c r="M126" s="103"/>
      <c r="N126" s="31"/>
      <c r="O126" s="31"/>
      <c r="P126" s="49"/>
      <c r="Q126" s="103"/>
      <c r="R126" s="104"/>
      <c r="S126" s="105"/>
      <c r="T126" s="111"/>
      <c r="U126" s="142"/>
      <c r="V126" s="206"/>
      <c r="W126" s="207"/>
      <c r="X126" s="111"/>
      <c r="Y126" s="142"/>
      <c r="Z126" s="206"/>
      <c r="AA126" s="207"/>
      <c r="AB126" s="111"/>
      <c r="AC126" s="142"/>
      <c r="AD126" s="206"/>
      <c r="AE126" s="207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6"/>
      <c r="CC126" s="86"/>
      <c r="CD126" s="86"/>
      <c r="CE126" s="86"/>
      <c r="CF126" s="86"/>
      <c r="CG126" s="86"/>
      <c r="CH126" s="86"/>
      <c r="CI126" s="86"/>
      <c r="CJ126" s="86"/>
      <c r="CK126" s="86"/>
      <c r="CL126" s="86"/>
      <c r="CM126" s="86"/>
      <c r="CN126" s="86"/>
      <c r="CO126" s="86"/>
      <c r="CP126" s="86"/>
      <c r="CQ126" s="86"/>
      <c r="CR126" s="86"/>
      <c r="CS126" s="86"/>
      <c r="CT126" s="86"/>
      <c r="CU126" s="86"/>
    </row>
    <row r="127" spans="1:99" s="15" customFormat="1" ht="12">
      <c r="A127" s="74"/>
      <c r="C127" s="15" t="s">
        <v>16</v>
      </c>
      <c r="H127" s="127"/>
      <c r="I127" s="476"/>
      <c r="J127" s="476"/>
      <c r="K127" s="476"/>
      <c r="L127" s="242"/>
      <c r="M127" s="103"/>
      <c r="N127" s="31"/>
      <c r="O127" s="31"/>
      <c r="P127" s="49"/>
      <c r="Q127" s="103"/>
      <c r="R127" s="104"/>
      <c r="S127" s="105"/>
      <c r="T127" s="111"/>
      <c r="U127" s="142"/>
      <c r="V127" s="206"/>
      <c r="W127" s="207"/>
      <c r="X127" s="111"/>
      <c r="Y127" s="142"/>
      <c r="Z127" s="206"/>
      <c r="AA127" s="207"/>
      <c r="AB127" s="111"/>
      <c r="AC127" s="142"/>
      <c r="AD127" s="206"/>
      <c r="AE127" s="207"/>
      <c r="AF127" s="111"/>
      <c r="AG127" s="111"/>
      <c r="AH127" s="111"/>
      <c r="AI127" s="111"/>
      <c r="AJ127" s="111"/>
      <c r="AK127" s="111"/>
      <c r="AL127" s="111"/>
      <c r="AM127" s="111"/>
      <c r="AN127" s="111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  <c r="CU127" s="86"/>
    </row>
    <row r="128" spans="1:99" s="15" customFormat="1" ht="12">
      <c r="A128" s="74"/>
      <c r="C128" s="15" t="s">
        <v>10</v>
      </c>
      <c r="H128" s="136"/>
      <c r="I128" s="476"/>
      <c r="J128" s="476"/>
      <c r="K128" s="476"/>
      <c r="L128" s="242"/>
      <c r="M128" s="103"/>
      <c r="N128" s="31"/>
      <c r="O128" s="31"/>
      <c r="P128" s="49"/>
      <c r="Q128" s="103"/>
      <c r="R128" s="104"/>
      <c r="S128" s="105"/>
      <c r="T128" s="111"/>
      <c r="U128" s="142"/>
      <c r="V128" s="206"/>
      <c r="W128" s="207"/>
      <c r="X128" s="111"/>
      <c r="Y128" s="142"/>
      <c r="Z128" s="206"/>
      <c r="AA128" s="207"/>
      <c r="AB128" s="111"/>
      <c r="AC128" s="142"/>
      <c r="AD128" s="206"/>
      <c r="AE128" s="207"/>
      <c r="AF128" s="111"/>
      <c r="AG128" s="111"/>
      <c r="AH128" s="111"/>
      <c r="AI128" s="111"/>
      <c r="AJ128" s="111"/>
      <c r="AK128" s="111"/>
      <c r="AL128" s="111"/>
      <c r="AM128" s="111"/>
      <c r="AN128" s="111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6"/>
      <c r="CC128" s="86"/>
      <c r="CD128" s="86"/>
      <c r="CE128" s="86"/>
      <c r="CF128" s="86"/>
      <c r="CG128" s="86"/>
      <c r="CH128" s="86"/>
      <c r="CI128" s="86"/>
      <c r="CJ128" s="86"/>
      <c r="CK128" s="86"/>
      <c r="CL128" s="86"/>
      <c r="CM128" s="86"/>
      <c r="CN128" s="86"/>
      <c r="CO128" s="86"/>
      <c r="CP128" s="86"/>
      <c r="CQ128" s="86"/>
      <c r="CR128" s="86"/>
      <c r="CS128" s="86"/>
      <c r="CT128" s="86"/>
      <c r="CU128" s="86"/>
    </row>
    <row r="129" spans="1:99" s="15" customFormat="1" ht="12">
      <c r="A129" s="74" t="s">
        <v>256</v>
      </c>
      <c r="D129" s="15" t="s">
        <v>17</v>
      </c>
      <c r="H129" s="136"/>
      <c r="I129" s="476"/>
      <c r="J129" s="476"/>
      <c r="K129" s="476"/>
      <c r="L129" s="242"/>
      <c r="M129" s="103"/>
      <c r="N129" s="31"/>
      <c r="O129" s="31"/>
      <c r="P129" s="49"/>
      <c r="Q129" s="103"/>
      <c r="R129" s="105"/>
      <c r="S129" s="105"/>
      <c r="T129" s="111"/>
      <c r="U129" s="142"/>
      <c r="V129" s="207"/>
      <c r="W129" s="207"/>
      <c r="X129" s="111"/>
      <c r="Y129" s="142"/>
      <c r="Z129" s="207"/>
      <c r="AA129" s="207"/>
      <c r="AB129" s="111"/>
      <c r="AC129" s="142"/>
      <c r="AD129" s="207"/>
      <c r="AE129" s="207"/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/>
      <c r="CA129" s="86"/>
      <c r="CB129" s="86"/>
      <c r="CC129" s="86"/>
      <c r="CD129" s="86"/>
      <c r="CE129" s="86"/>
      <c r="CF129" s="86"/>
      <c r="CG129" s="86"/>
      <c r="CH129" s="86"/>
      <c r="CI129" s="86"/>
      <c r="CJ129" s="86"/>
      <c r="CK129" s="86"/>
      <c r="CL129" s="86"/>
      <c r="CM129" s="86"/>
      <c r="CN129" s="86"/>
      <c r="CO129" s="86"/>
      <c r="CP129" s="86"/>
      <c r="CQ129" s="86"/>
      <c r="CR129" s="86"/>
      <c r="CS129" s="86"/>
      <c r="CT129" s="86"/>
      <c r="CU129" s="86"/>
    </row>
    <row r="130" spans="1:99" s="15" customFormat="1" ht="36">
      <c r="A130" s="74" t="s">
        <v>257</v>
      </c>
      <c r="D130" s="15" t="s">
        <v>18</v>
      </c>
      <c r="H130" s="136" t="s">
        <v>444</v>
      </c>
      <c r="I130" s="476"/>
      <c r="J130" s="473" t="s">
        <v>503</v>
      </c>
      <c r="K130" s="476"/>
      <c r="L130" s="242"/>
      <c r="M130" s="103"/>
      <c r="N130" s="31"/>
      <c r="O130" s="31"/>
      <c r="P130" s="49"/>
      <c r="Q130" s="103"/>
      <c r="R130" s="104"/>
      <c r="S130" s="105"/>
      <c r="T130" s="111"/>
      <c r="U130" s="142"/>
      <c r="V130" s="206"/>
      <c r="W130" s="207"/>
      <c r="X130" s="111"/>
      <c r="Y130" s="142"/>
      <c r="Z130" s="206"/>
      <c r="AA130" s="207"/>
      <c r="AB130" s="111"/>
      <c r="AC130" s="142"/>
      <c r="AD130" s="206"/>
      <c r="AE130" s="207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  <c r="CK130" s="86"/>
      <c r="CL130" s="86"/>
      <c r="CM130" s="86"/>
      <c r="CN130" s="86"/>
      <c r="CO130" s="86"/>
      <c r="CP130" s="86"/>
      <c r="CQ130" s="86"/>
      <c r="CR130" s="86"/>
      <c r="CS130" s="86"/>
      <c r="CT130" s="86"/>
      <c r="CU130" s="86"/>
    </row>
    <row r="131" spans="1:99" s="15" customFormat="1" ht="12">
      <c r="A131" s="74"/>
      <c r="C131" s="15" t="s">
        <v>15</v>
      </c>
      <c r="H131" s="136"/>
      <c r="I131" s="476"/>
      <c r="J131" s="476"/>
      <c r="K131" s="476"/>
      <c r="L131" s="242"/>
      <c r="M131" s="103"/>
      <c r="N131" s="31"/>
      <c r="O131" s="31"/>
      <c r="P131" s="49"/>
      <c r="Q131" s="103"/>
      <c r="R131" s="104"/>
      <c r="S131" s="105"/>
      <c r="T131" s="111"/>
      <c r="U131" s="142"/>
      <c r="V131" s="206"/>
      <c r="W131" s="207"/>
      <c r="X131" s="111"/>
      <c r="Y131" s="142"/>
      <c r="Z131" s="206"/>
      <c r="AA131" s="207"/>
      <c r="AB131" s="111"/>
      <c r="AC131" s="142"/>
      <c r="AD131" s="206"/>
      <c r="AE131" s="207"/>
      <c r="AF131" s="111"/>
      <c r="AG131" s="111"/>
      <c r="AH131" s="111"/>
      <c r="AI131" s="111"/>
      <c r="AJ131" s="111"/>
      <c r="AK131" s="111"/>
      <c r="AL131" s="111"/>
      <c r="AM131" s="111"/>
      <c r="AN131" s="111"/>
      <c r="AO131" s="111"/>
      <c r="AP131" s="111"/>
      <c r="AQ131" s="111"/>
      <c r="AR131" s="111"/>
      <c r="AS131" s="111"/>
      <c r="AT131" s="111"/>
      <c r="AU131" s="111"/>
      <c r="AV131" s="111"/>
      <c r="AW131" s="111"/>
      <c r="AX131" s="111"/>
      <c r="AY131" s="111"/>
      <c r="AZ131" s="111"/>
      <c r="BA131" s="111"/>
      <c r="BB131" s="111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/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86"/>
      <c r="CU131" s="86"/>
    </row>
    <row r="132" spans="1:99" s="15" customFormat="1" ht="12">
      <c r="A132" s="74" t="s">
        <v>258</v>
      </c>
      <c r="D132" s="15" t="s">
        <v>17</v>
      </c>
      <c r="H132" s="127"/>
      <c r="I132" s="476"/>
      <c r="J132" s="476"/>
      <c r="K132" s="476"/>
      <c r="L132" s="242"/>
      <c r="M132" s="103"/>
      <c r="N132" s="31"/>
      <c r="O132" s="31"/>
      <c r="P132" s="49"/>
      <c r="Q132" s="103"/>
      <c r="R132" s="31"/>
      <c r="S132" s="31"/>
      <c r="T132" s="111"/>
      <c r="U132" s="142"/>
      <c r="V132" s="43"/>
      <c r="W132" s="43"/>
      <c r="X132" s="111"/>
      <c r="Y132" s="142"/>
      <c r="Z132" s="43"/>
      <c r="AA132" s="43"/>
      <c r="AB132" s="111"/>
      <c r="AC132" s="142"/>
      <c r="AD132" s="43"/>
      <c r="AE132" s="43"/>
      <c r="AF132" s="111"/>
      <c r="AG132" s="111"/>
      <c r="AH132" s="111"/>
      <c r="AI132" s="111"/>
      <c r="AJ132" s="111"/>
      <c r="AK132" s="111"/>
      <c r="AL132" s="111"/>
      <c r="AM132" s="111"/>
      <c r="AN132" s="111"/>
      <c r="AO132" s="111"/>
      <c r="AP132" s="111"/>
      <c r="AQ132" s="111"/>
      <c r="AR132" s="111"/>
      <c r="AS132" s="111"/>
      <c r="AT132" s="111"/>
      <c r="AU132" s="111"/>
      <c r="AV132" s="111"/>
      <c r="AW132" s="111"/>
      <c r="AX132" s="111"/>
      <c r="AY132" s="111"/>
      <c r="AZ132" s="111"/>
      <c r="BA132" s="111"/>
      <c r="BB132" s="111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  <c r="CB132" s="86"/>
      <c r="CC132" s="86"/>
      <c r="CD132" s="86"/>
      <c r="CE132" s="86"/>
      <c r="CF132" s="86"/>
      <c r="CG132" s="86"/>
      <c r="CH132" s="86"/>
      <c r="CI132" s="86"/>
      <c r="CJ132" s="86"/>
      <c r="CK132" s="86"/>
      <c r="CL132" s="86"/>
      <c r="CM132" s="86"/>
      <c r="CN132" s="86"/>
      <c r="CO132" s="86"/>
      <c r="CP132" s="86"/>
      <c r="CQ132" s="86"/>
      <c r="CR132" s="86"/>
      <c r="CS132" s="86"/>
      <c r="CT132" s="86"/>
      <c r="CU132" s="86"/>
    </row>
    <row r="133" spans="1:99" s="15" customFormat="1" ht="12">
      <c r="A133" s="74" t="s">
        <v>259</v>
      </c>
      <c r="D133" s="15" t="s">
        <v>19</v>
      </c>
      <c r="H133" s="136"/>
      <c r="I133" s="476"/>
      <c r="J133" s="476"/>
      <c r="K133" s="476"/>
      <c r="L133" s="242"/>
      <c r="M133" s="103"/>
      <c r="N133" s="31"/>
      <c r="O133" s="31"/>
      <c r="P133" s="49"/>
      <c r="Q133" s="103"/>
      <c r="R133" s="104"/>
      <c r="S133" s="105"/>
      <c r="T133" s="111"/>
      <c r="U133" s="142"/>
      <c r="V133" s="206"/>
      <c r="W133" s="207"/>
      <c r="X133" s="111"/>
      <c r="Y133" s="142"/>
      <c r="Z133" s="206"/>
      <c r="AA133" s="207"/>
      <c r="AB133" s="111"/>
      <c r="AC133" s="142"/>
      <c r="AD133" s="206"/>
      <c r="AE133" s="207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111"/>
      <c r="AX133" s="111"/>
      <c r="AY133" s="111"/>
      <c r="AZ133" s="111"/>
      <c r="BA133" s="111"/>
      <c r="BB133" s="111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  <c r="CB133" s="86"/>
      <c r="CC133" s="86"/>
      <c r="CD133" s="86"/>
      <c r="CE133" s="86"/>
      <c r="CF133" s="86"/>
      <c r="CG133" s="86"/>
      <c r="CH133" s="86"/>
      <c r="CI133" s="86"/>
      <c r="CJ133" s="86"/>
      <c r="CK133" s="86"/>
      <c r="CL133" s="86"/>
      <c r="CM133" s="86"/>
      <c r="CN133" s="86"/>
      <c r="CO133" s="86"/>
      <c r="CP133" s="86"/>
      <c r="CQ133" s="86"/>
      <c r="CR133" s="86"/>
      <c r="CS133" s="86"/>
      <c r="CT133" s="86"/>
      <c r="CU133" s="86"/>
    </row>
    <row r="134" spans="1:99" s="15" customFormat="1" ht="12">
      <c r="A134" s="74"/>
      <c r="C134" s="15" t="s">
        <v>20</v>
      </c>
      <c r="H134" s="136"/>
      <c r="I134" s="476"/>
      <c r="J134" s="474"/>
      <c r="K134" s="476"/>
      <c r="L134" s="242"/>
      <c r="M134" s="103"/>
      <c r="N134" s="31"/>
      <c r="O134" s="31"/>
      <c r="P134" s="49"/>
      <c r="Q134" s="103"/>
      <c r="R134" s="105"/>
      <c r="S134" s="105"/>
      <c r="T134" s="111"/>
      <c r="U134" s="142"/>
      <c r="V134" s="207"/>
      <c r="W134" s="207"/>
      <c r="X134" s="111"/>
      <c r="Y134" s="142"/>
      <c r="Z134" s="207"/>
      <c r="AA134" s="207"/>
      <c r="AB134" s="111"/>
      <c r="AC134" s="142"/>
      <c r="AD134" s="207"/>
      <c r="AE134" s="207"/>
      <c r="AF134" s="111"/>
      <c r="AG134" s="111"/>
      <c r="AH134" s="111"/>
      <c r="AI134" s="111"/>
      <c r="AJ134" s="111"/>
      <c r="AK134" s="111"/>
      <c r="AL134" s="111"/>
      <c r="AM134" s="111"/>
      <c r="AN134" s="111"/>
      <c r="AO134" s="111"/>
      <c r="AP134" s="111"/>
      <c r="AQ134" s="111"/>
      <c r="AR134" s="111"/>
      <c r="AS134" s="111"/>
      <c r="AT134" s="111"/>
      <c r="AU134" s="111"/>
      <c r="AV134" s="111"/>
      <c r="AW134" s="111"/>
      <c r="AX134" s="111"/>
      <c r="AY134" s="111"/>
      <c r="AZ134" s="111"/>
      <c r="BA134" s="111"/>
      <c r="BB134" s="111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86"/>
      <c r="CI134" s="86"/>
      <c r="CJ134" s="86"/>
      <c r="CK134" s="86"/>
      <c r="CL134" s="86"/>
      <c r="CM134" s="86"/>
      <c r="CN134" s="86"/>
      <c r="CO134" s="86"/>
      <c r="CP134" s="86"/>
      <c r="CQ134" s="86"/>
      <c r="CR134" s="86"/>
      <c r="CS134" s="86"/>
      <c r="CT134" s="86"/>
      <c r="CU134" s="86"/>
    </row>
    <row r="135" spans="1:99" s="15" customFormat="1" ht="12">
      <c r="A135" s="74"/>
      <c r="B135" s="15" t="s">
        <v>191</v>
      </c>
      <c r="H135" s="240"/>
      <c r="I135" s="476"/>
      <c r="J135" s="477"/>
      <c r="K135" s="476"/>
      <c r="L135" s="242"/>
      <c r="M135" s="103"/>
      <c r="N135" s="31"/>
      <c r="O135" s="31"/>
      <c r="P135" s="49"/>
      <c r="Q135" s="103"/>
      <c r="R135" s="31"/>
      <c r="S135" s="105"/>
      <c r="T135" s="111"/>
      <c r="U135" s="142"/>
      <c r="V135" s="43"/>
      <c r="W135" s="207"/>
      <c r="X135" s="111"/>
      <c r="Y135" s="142"/>
      <c r="Z135" s="43"/>
      <c r="AA135" s="207"/>
      <c r="AB135" s="111"/>
      <c r="AC135" s="142"/>
      <c r="AD135" s="43"/>
      <c r="AE135" s="207"/>
      <c r="AF135" s="111"/>
      <c r="AG135" s="111"/>
      <c r="AH135" s="111"/>
      <c r="AI135" s="111"/>
      <c r="AJ135" s="111"/>
      <c r="AK135" s="111"/>
      <c r="AL135" s="111"/>
      <c r="AM135" s="111"/>
      <c r="AN135" s="111"/>
      <c r="AO135" s="111"/>
      <c r="AP135" s="111"/>
      <c r="AQ135" s="111"/>
      <c r="AR135" s="111"/>
      <c r="AS135" s="111"/>
      <c r="AT135" s="111"/>
      <c r="AU135" s="111"/>
      <c r="AV135" s="111"/>
      <c r="AW135" s="111"/>
      <c r="AX135" s="111"/>
      <c r="AY135" s="111"/>
      <c r="AZ135" s="111"/>
      <c r="BA135" s="111"/>
      <c r="BB135" s="111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  <c r="BX135" s="86"/>
      <c r="BY135" s="86"/>
      <c r="BZ135" s="86"/>
      <c r="CA135" s="86"/>
      <c r="CB135" s="86"/>
      <c r="CC135" s="86"/>
      <c r="CD135" s="86"/>
      <c r="CE135" s="86"/>
      <c r="CF135" s="86"/>
      <c r="CG135" s="86"/>
      <c r="CH135" s="86"/>
      <c r="CI135" s="86"/>
      <c r="CJ135" s="86"/>
      <c r="CK135" s="86"/>
      <c r="CL135" s="86"/>
      <c r="CM135" s="86"/>
      <c r="CN135" s="86"/>
      <c r="CO135" s="86"/>
      <c r="CP135" s="86"/>
      <c r="CQ135" s="86"/>
      <c r="CR135" s="86"/>
      <c r="CS135" s="86"/>
      <c r="CT135" s="86"/>
      <c r="CU135" s="86"/>
    </row>
    <row r="136" spans="1:99" s="15" customFormat="1" ht="12">
      <c r="A136" s="337"/>
      <c r="B136" s="230"/>
      <c r="C136" s="230"/>
      <c r="D136" s="230"/>
      <c r="E136" s="230"/>
      <c r="F136" s="230"/>
      <c r="G136" s="230"/>
      <c r="H136" s="136"/>
      <c r="I136" s="476"/>
      <c r="J136" s="477"/>
      <c r="K136" s="476"/>
      <c r="L136" s="242"/>
      <c r="M136" s="103"/>
      <c r="N136" s="31"/>
      <c r="O136" s="31"/>
      <c r="P136" s="49"/>
      <c r="Q136" s="103"/>
      <c r="R136" s="105"/>
      <c r="S136" s="105"/>
      <c r="T136" s="111"/>
      <c r="U136" s="142"/>
      <c r="V136" s="207"/>
      <c r="W136" s="207"/>
      <c r="X136" s="111"/>
      <c r="Y136" s="142"/>
      <c r="Z136" s="207"/>
      <c r="AA136" s="207"/>
      <c r="AB136" s="111"/>
      <c r="AC136" s="142"/>
      <c r="AD136" s="207"/>
      <c r="AE136" s="207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  <c r="AY136" s="111"/>
      <c r="AZ136" s="111"/>
      <c r="BA136" s="111"/>
      <c r="BB136" s="111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6"/>
      <c r="BW136" s="86"/>
      <c r="BX136" s="86"/>
      <c r="BY136" s="86"/>
      <c r="BZ136" s="86"/>
      <c r="CA136" s="86"/>
      <c r="CB136" s="86"/>
      <c r="CC136" s="86"/>
      <c r="CD136" s="86"/>
      <c r="CE136" s="86"/>
      <c r="CF136" s="86"/>
      <c r="CG136" s="86"/>
      <c r="CH136" s="86"/>
      <c r="CI136" s="86"/>
      <c r="CJ136" s="86"/>
      <c r="CK136" s="86"/>
      <c r="CL136" s="86"/>
      <c r="CM136" s="86"/>
      <c r="CN136" s="86"/>
      <c r="CO136" s="86"/>
      <c r="CP136" s="86"/>
      <c r="CQ136" s="86"/>
      <c r="CR136" s="86"/>
      <c r="CS136" s="86"/>
      <c r="CT136" s="86"/>
      <c r="CU136" s="86"/>
    </row>
    <row r="137" spans="1:99" s="15" customFormat="1" ht="12">
      <c r="A137" s="74" t="s">
        <v>54</v>
      </c>
      <c r="B137" s="86" t="s">
        <v>192</v>
      </c>
      <c r="C137" s="86"/>
      <c r="H137" s="136"/>
      <c r="I137" s="476"/>
      <c r="J137" s="477"/>
      <c r="K137" s="476"/>
      <c r="L137" s="242"/>
      <c r="M137" s="103"/>
      <c r="N137" s="31"/>
      <c r="O137" s="31"/>
      <c r="P137" s="49"/>
      <c r="Q137" s="103"/>
      <c r="R137" s="105"/>
      <c r="S137" s="105"/>
      <c r="T137" s="111"/>
      <c r="U137" s="142"/>
      <c r="V137" s="207"/>
      <c r="W137" s="207"/>
      <c r="X137" s="111"/>
      <c r="Y137" s="142"/>
      <c r="Z137" s="207"/>
      <c r="AA137" s="207"/>
      <c r="AB137" s="111"/>
      <c r="AC137" s="142"/>
      <c r="AD137" s="207"/>
      <c r="AE137" s="207"/>
      <c r="AF137" s="111"/>
      <c r="AG137" s="111"/>
      <c r="AH137" s="111"/>
      <c r="AI137" s="111"/>
      <c r="AJ137" s="111"/>
      <c r="AK137" s="111"/>
      <c r="AL137" s="111"/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11"/>
      <c r="AW137" s="111"/>
      <c r="AX137" s="111"/>
      <c r="AY137" s="111"/>
      <c r="AZ137" s="111"/>
      <c r="BA137" s="111"/>
      <c r="BB137" s="111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  <c r="CB137" s="86"/>
      <c r="CC137" s="86"/>
      <c r="CD137" s="86"/>
      <c r="CE137" s="86"/>
      <c r="CF137" s="86"/>
      <c r="CG137" s="86"/>
      <c r="CH137" s="86"/>
      <c r="CI137" s="86"/>
      <c r="CJ137" s="86"/>
      <c r="CK137" s="86"/>
      <c r="CL137" s="86"/>
      <c r="CM137" s="86"/>
      <c r="CN137" s="86"/>
      <c r="CO137" s="86"/>
      <c r="CP137" s="86"/>
      <c r="CQ137" s="86"/>
      <c r="CR137" s="86"/>
      <c r="CS137" s="86"/>
      <c r="CT137" s="86"/>
      <c r="CU137" s="86"/>
    </row>
    <row r="138" spans="1:99" s="15" customFormat="1" ht="12">
      <c r="A138" s="74" t="s">
        <v>83</v>
      </c>
      <c r="B138" s="86"/>
      <c r="C138" s="15" t="s">
        <v>30</v>
      </c>
      <c r="H138" s="127" t="s">
        <v>445</v>
      </c>
      <c r="I138" s="476"/>
      <c r="J138" s="477"/>
      <c r="K138" s="476"/>
      <c r="L138" s="242"/>
      <c r="M138" s="103"/>
      <c r="N138" s="226"/>
      <c r="O138" s="31"/>
      <c r="P138" s="49"/>
      <c r="Q138" s="103"/>
      <c r="R138" s="105"/>
      <c r="S138" s="105"/>
      <c r="T138" s="111"/>
      <c r="U138" s="142"/>
      <c r="V138" s="207"/>
      <c r="W138" s="207"/>
      <c r="X138" s="111"/>
      <c r="Y138" s="142"/>
      <c r="Z138" s="207"/>
      <c r="AA138" s="207"/>
      <c r="AB138" s="111"/>
      <c r="AC138" s="142"/>
      <c r="AD138" s="207"/>
      <c r="AE138" s="207"/>
      <c r="AF138" s="111"/>
      <c r="AG138" s="111"/>
      <c r="AH138" s="111"/>
      <c r="AI138" s="111"/>
      <c r="AJ138" s="111"/>
      <c r="AK138" s="111"/>
      <c r="AL138" s="111"/>
      <c r="AM138" s="111"/>
      <c r="AN138" s="111"/>
      <c r="AO138" s="111"/>
      <c r="AP138" s="111"/>
      <c r="AQ138" s="111"/>
      <c r="AR138" s="111"/>
      <c r="AS138" s="111"/>
      <c r="AT138" s="111"/>
      <c r="AU138" s="111"/>
      <c r="AV138" s="111"/>
      <c r="AW138" s="111"/>
      <c r="AX138" s="111"/>
      <c r="AY138" s="111"/>
      <c r="AZ138" s="111"/>
      <c r="BA138" s="111"/>
      <c r="BB138" s="111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  <c r="CB138" s="86"/>
      <c r="CC138" s="86"/>
      <c r="CD138" s="86"/>
      <c r="CE138" s="86"/>
      <c r="CF138" s="86"/>
      <c r="CG138" s="86"/>
      <c r="CH138" s="86"/>
      <c r="CI138" s="86"/>
      <c r="CJ138" s="86"/>
      <c r="CK138" s="86"/>
      <c r="CL138" s="86"/>
      <c r="CM138" s="86"/>
      <c r="CN138" s="86"/>
      <c r="CO138" s="86"/>
      <c r="CP138" s="86"/>
      <c r="CQ138" s="86"/>
      <c r="CR138" s="86"/>
      <c r="CS138" s="86"/>
      <c r="CT138" s="86"/>
      <c r="CU138" s="86"/>
    </row>
    <row r="139" spans="1:99" s="15" customFormat="1" ht="12">
      <c r="A139" s="74"/>
      <c r="C139" s="15" t="s">
        <v>10</v>
      </c>
      <c r="H139" s="136" t="s">
        <v>429</v>
      </c>
      <c r="I139" s="476"/>
      <c r="J139" s="477"/>
      <c r="K139" s="476"/>
      <c r="L139" s="242"/>
      <c r="M139" s="103"/>
      <c r="N139" s="31"/>
      <c r="O139" s="31"/>
      <c r="P139" s="49"/>
      <c r="Q139" s="103"/>
      <c r="R139" s="31"/>
      <c r="S139" s="31"/>
      <c r="T139" s="111"/>
      <c r="U139" s="142"/>
      <c r="V139" s="43"/>
      <c r="W139" s="43"/>
      <c r="X139" s="111"/>
      <c r="Y139" s="142"/>
      <c r="Z139" s="43"/>
      <c r="AA139" s="43"/>
      <c r="AB139" s="111"/>
      <c r="AC139" s="142"/>
      <c r="AD139" s="43"/>
      <c r="AE139" s="43"/>
      <c r="AF139" s="111"/>
      <c r="AG139" s="111"/>
      <c r="AH139" s="111"/>
      <c r="AI139" s="111"/>
      <c r="AJ139" s="111"/>
      <c r="AK139" s="111"/>
      <c r="AL139" s="111"/>
      <c r="AM139" s="111"/>
      <c r="AN139" s="111"/>
      <c r="AO139" s="111"/>
      <c r="AP139" s="111"/>
      <c r="AQ139" s="111"/>
      <c r="AR139" s="111"/>
      <c r="AS139" s="111"/>
      <c r="AT139" s="111"/>
      <c r="AU139" s="111"/>
      <c r="AV139" s="111"/>
      <c r="AW139" s="111"/>
      <c r="AX139" s="111"/>
      <c r="AY139" s="111"/>
      <c r="AZ139" s="111"/>
      <c r="BA139" s="111"/>
      <c r="BB139" s="111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/>
      <c r="CA139" s="86"/>
      <c r="CB139" s="86"/>
      <c r="CC139" s="86"/>
      <c r="CD139" s="86"/>
      <c r="CE139" s="86"/>
      <c r="CF139" s="86"/>
      <c r="CG139" s="86"/>
      <c r="CH139" s="86"/>
      <c r="CI139" s="86"/>
      <c r="CJ139" s="86"/>
      <c r="CK139" s="86"/>
      <c r="CL139" s="86"/>
      <c r="CM139" s="86"/>
      <c r="CN139" s="86"/>
      <c r="CO139" s="86"/>
      <c r="CP139" s="86"/>
      <c r="CQ139" s="86"/>
      <c r="CR139" s="86"/>
      <c r="CS139" s="86"/>
      <c r="CT139" s="86"/>
      <c r="CU139" s="86"/>
    </row>
    <row r="140" spans="1:99" s="15" customFormat="1" ht="60">
      <c r="A140" s="74" t="s">
        <v>84</v>
      </c>
      <c r="D140" s="15" t="s">
        <v>11</v>
      </c>
      <c r="H140" s="127" t="s">
        <v>446</v>
      </c>
      <c r="I140" s="476"/>
      <c r="J140" s="127" t="s">
        <v>502</v>
      </c>
      <c r="K140" s="476"/>
      <c r="L140" s="242"/>
      <c r="M140" s="103"/>
      <c r="N140" s="31"/>
      <c r="O140" s="31"/>
      <c r="P140" s="49"/>
      <c r="Q140" s="103"/>
      <c r="R140" s="31"/>
      <c r="S140" s="31"/>
      <c r="T140" s="111"/>
      <c r="U140" s="142"/>
      <c r="V140" s="43"/>
      <c r="W140" s="43"/>
      <c r="X140" s="111"/>
      <c r="Y140" s="142"/>
      <c r="Z140" s="43"/>
      <c r="AA140" s="43"/>
      <c r="AB140" s="111"/>
      <c r="AC140" s="142"/>
      <c r="AD140" s="43"/>
      <c r="AE140" s="43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  <c r="AQ140" s="111"/>
      <c r="AR140" s="111"/>
      <c r="AS140" s="111"/>
      <c r="AT140" s="111"/>
      <c r="AU140" s="111"/>
      <c r="AV140" s="111"/>
      <c r="AW140" s="111"/>
      <c r="AX140" s="111"/>
      <c r="AY140" s="111"/>
      <c r="AZ140" s="111"/>
      <c r="BA140" s="111"/>
      <c r="BB140" s="111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  <c r="CL140" s="86"/>
      <c r="CM140" s="86"/>
      <c r="CN140" s="86"/>
      <c r="CO140" s="86"/>
      <c r="CP140" s="86"/>
      <c r="CQ140" s="86"/>
      <c r="CR140" s="86"/>
      <c r="CS140" s="86"/>
      <c r="CT140" s="86"/>
      <c r="CU140" s="86"/>
    </row>
    <row r="141" spans="1:99" s="15" customFormat="1" ht="12">
      <c r="A141" s="74" t="s">
        <v>85</v>
      </c>
      <c r="D141" s="15" t="s">
        <v>12</v>
      </c>
      <c r="H141" s="121" t="s">
        <v>447</v>
      </c>
      <c r="I141" s="476"/>
      <c r="J141" s="477"/>
      <c r="K141" s="476"/>
      <c r="L141" s="242"/>
      <c r="M141" s="103"/>
      <c r="N141" s="31"/>
      <c r="O141" s="31"/>
      <c r="P141" s="111"/>
      <c r="Q141" s="142"/>
      <c r="R141" s="43"/>
      <c r="S141" s="43"/>
      <c r="T141" s="111"/>
      <c r="U141" s="142"/>
      <c r="V141" s="43"/>
      <c r="W141" s="43"/>
      <c r="X141" s="111"/>
      <c r="Y141" s="142"/>
      <c r="Z141" s="43"/>
      <c r="AA141" s="43"/>
      <c r="AB141" s="111"/>
      <c r="AC141" s="142"/>
      <c r="AD141" s="43"/>
      <c r="AE141" s="43"/>
      <c r="AF141" s="111"/>
      <c r="AG141" s="111"/>
      <c r="AH141" s="111"/>
      <c r="AI141" s="111"/>
      <c r="AJ141" s="111"/>
      <c r="AK141" s="111"/>
      <c r="AL141" s="111"/>
      <c r="AM141" s="111"/>
      <c r="AN141" s="111"/>
      <c r="AO141" s="111"/>
      <c r="AP141" s="111"/>
      <c r="AQ141" s="111"/>
      <c r="AR141" s="111"/>
      <c r="AS141" s="111"/>
      <c r="AT141" s="111"/>
      <c r="AU141" s="111"/>
      <c r="AV141" s="111"/>
      <c r="AW141" s="111"/>
      <c r="AX141" s="111"/>
      <c r="AY141" s="111"/>
      <c r="AZ141" s="111"/>
      <c r="BA141" s="111"/>
      <c r="BB141" s="111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  <c r="BY141" s="86"/>
      <c r="BZ141" s="86"/>
      <c r="CA141" s="86"/>
      <c r="CB141" s="86"/>
      <c r="CC141" s="86"/>
      <c r="CD141" s="86"/>
      <c r="CE141" s="86"/>
      <c r="CF141" s="86"/>
      <c r="CG141" s="86"/>
      <c r="CH141" s="86"/>
      <c r="CI141" s="86"/>
      <c r="CJ141" s="86"/>
      <c r="CK141" s="86"/>
      <c r="CL141" s="86"/>
      <c r="CM141" s="86"/>
      <c r="CN141" s="86"/>
      <c r="CO141" s="86"/>
      <c r="CP141" s="86"/>
      <c r="CQ141" s="86"/>
      <c r="CR141" s="86"/>
      <c r="CS141" s="86"/>
      <c r="CT141" s="86"/>
      <c r="CU141" s="86"/>
    </row>
    <row r="142" spans="1:99" s="15" customFormat="1" ht="12">
      <c r="A142" s="74" t="s">
        <v>260</v>
      </c>
      <c r="D142" s="15" t="s">
        <v>13</v>
      </c>
      <c r="H142" s="127"/>
      <c r="I142" s="476"/>
      <c r="J142" s="477"/>
      <c r="K142" s="476"/>
      <c r="L142" s="242"/>
      <c r="M142" s="103"/>
      <c r="N142" s="31"/>
      <c r="O142" s="31"/>
      <c r="P142" s="49"/>
      <c r="Q142" s="49"/>
      <c r="R142" s="31"/>
      <c r="S142" s="105"/>
      <c r="T142" s="111"/>
      <c r="U142" s="111"/>
      <c r="V142" s="43"/>
      <c r="W142" s="207"/>
      <c r="X142" s="111"/>
      <c r="Y142" s="111"/>
      <c r="Z142" s="43"/>
      <c r="AA142" s="207"/>
      <c r="AB142" s="111"/>
      <c r="AC142" s="111"/>
      <c r="AD142" s="43"/>
      <c r="AE142" s="207"/>
      <c r="AF142" s="111"/>
      <c r="AG142" s="111"/>
      <c r="AH142" s="111"/>
      <c r="AI142" s="111"/>
      <c r="AJ142" s="111"/>
      <c r="AK142" s="111"/>
      <c r="AL142" s="111"/>
      <c r="AM142" s="111"/>
      <c r="AN142" s="111"/>
      <c r="AO142" s="111"/>
      <c r="AP142" s="111"/>
      <c r="AQ142" s="111"/>
      <c r="AR142" s="111"/>
      <c r="AS142" s="111"/>
      <c r="AT142" s="111"/>
      <c r="AU142" s="111"/>
      <c r="AV142" s="111"/>
      <c r="AW142" s="111"/>
      <c r="AX142" s="111"/>
      <c r="AY142" s="111"/>
      <c r="AZ142" s="111"/>
      <c r="BA142" s="111"/>
      <c r="BB142" s="111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/>
      <c r="CA142" s="86"/>
      <c r="CB142" s="86"/>
      <c r="CC142" s="86"/>
      <c r="CD142" s="86"/>
      <c r="CE142" s="86"/>
      <c r="CF142" s="86"/>
      <c r="CG142" s="86"/>
      <c r="CH142" s="86"/>
      <c r="CI142" s="86"/>
      <c r="CJ142" s="86"/>
      <c r="CK142" s="86"/>
      <c r="CL142" s="86"/>
      <c r="CM142" s="86"/>
      <c r="CN142" s="86"/>
      <c r="CO142" s="86"/>
      <c r="CP142" s="86"/>
      <c r="CQ142" s="86"/>
      <c r="CR142" s="86"/>
      <c r="CS142" s="86"/>
      <c r="CT142" s="86"/>
      <c r="CU142" s="86"/>
    </row>
    <row r="143" spans="1:99" s="15" customFormat="1" ht="12">
      <c r="A143" s="74" t="s">
        <v>261</v>
      </c>
      <c r="D143" s="15" t="s">
        <v>14</v>
      </c>
      <c r="H143" s="127" t="s">
        <v>448</v>
      </c>
      <c r="I143" s="242"/>
      <c r="J143" s="477"/>
      <c r="K143" s="242"/>
      <c r="L143" s="242"/>
      <c r="M143" s="103"/>
      <c r="N143" s="31"/>
      <c r="O143" s="31"/>
      <c r="P143" s="49"/>
      <c r="Q143" s="49"/>
      <c r="R143" s="31"/>
      <c r="S143" s="105"/>
      <c r="T143" s="111"/>
      <c r="U143" s="111"/>
      <c r="V143" s="43"/>
      <c r="W143" s="207"/>
      <c r="X143" s="111"/>
      <c r="Y143" s="111"/>
      <c r="Z143" s="43"/>
      <c r="AA143" s="207"/>
      <c r="AB143" s="111"/>
      <c r="AC143" s="111"/>
      <c r="AD143" s="43"/>
      <c r="AE143" s="207"/>
      <c r="AF143" s="111"/>
      <c r="AG143" s="111"/>
      <c r="AH143" s="111"/>
      <c r="AI143" s="111"/>
      <c r="AJ143" s="111"/>
      <c r="AK143" s="111"/>
      <c r="AL143" s="111"/>
      <c r="AM143" s="111"/>
      <c r="AN143" s="111"/>
      <c r="AO143" s="111"/>
      <c r="AP143" s="111"/>
      <c r="AQ143" s="111"/>
      <c r="AR143" s="111"/>
      <c r="AS143" s="111"/>
      <c r="AT143" s="111"/>
      <c r="AU143" s="111"/>
      <c r="AV143" s="111"/>
      <c r="AW143" s="111"/>
      <c r="AX143" s="111"/>
      <c r="AY143" s="111"/>
      <c r="AZ143" s="111"/>
      <c r="BA143" s="111"/>
      <c r="BB143" s="111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6"/>
      <c r="CF143" s="86"/>
      <c r="CG143" s="86"/>
      <c r="CH143" s="86"/>
      <c r="CI143" s="86"/>
      <c r="CJ143" s="86"/>
      <c r="CK143" s="86"/>
      <c r="CL143" s="86"/>
      <c r="CM143" s="86"/>
      <c r="CN143" s="86"/>
      <c r="CO143" s="86"/>
      <c r="CP143" s="86"/>
      <c r="CQ143" s="86"/>
      <c r="CR143" s="86"/>
      <c r="CS143" s="86"/>
      <c r="CT143" s="86"/>
      <c r="CU143" s="86"/>
    </row>
    <row r="144" spans="1:99" s="15" customFormat="1" ht="12">
      <c r="A144" s="74"/>
      <c r="C144" s="15" t="s">
        <v>15</v>
      </c>
      <c r="H144" s="127"/>
      <c r="I144" s="476"/>
      <c r="J144" s="477"/>
      <c r="K144" s="476"/>
      <c r="L144" s="242"/>
      <c r="M144" s="103"/>
      <c r="N144" s="31"/>
      <c r="O144" s="31"/>
      <c r="P144" s="49"/>
      <c r="Q144" s="49"/>
      <c r="R144" s="226"/>
      <c r="S144" s="105"/>
      <c r="T144" s="111"/>
      <c r="U144" s="111"/>
      <c r="V144" s="227"/>
      <c r="W144" s="207"/>
      <c r="X144" s="111"/>
      <c r="Y144" s="111"/>
      <c r="Z144" s="227"/>
      <c r="AA144" s="207"/>
      <c r="AB144" s="111"/>
      <c r="AC144" s="111"/>
      <c r="AD144" s="227"/>
      <c r="AE144" s="207"/>
      <c r="AF144" s="111"/>
      <c r="AG144" s="111"/>
      <c r="AH144" s="111"/>
      <c r="AI144" s="111"/>
      <c r="AJ144" s="111"/>
      <c r="AK144" s="111"/>
      <c r="AL144" s="111"/>
      <c r="AM144" s="111"/>
      <c r="AN144" s="111"/>
      <c r="AO144" s="111"/>
      <c r="AP144" s="111"/>
      <c r="AQ144" s="111"/>
      <c r="AR144" s="111"/>
      <c r="AS144" s="111"/>
      <c r="AT144" s="111"/>
      <c r="AU144" s="111"/>
      <c r="AV144" s="111"/>
      <c r="AW144" s="111"/>
      <c r="AX144" s="111"/>
      <c r="AY144" s="111"/>
      <c r="AZ144" s="111"/>
      <c r="BA144" s="111"/>
      <c r="BB144" s="111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  <c r="CB144" s="86"/>
      <c r="CC144" s="86"/>
      <c r="CD144" s="86"/>
      <c r="CE144" s="86"/>
      <c r="CF144" s="86"/>
      <c r="CG144" s="86"/>
      <c r="CH144" s="86"/>
      <c r="CI144" s="86"/>
      <c r="CJ144" s="86"/>
      <c r="CK144" s="86"/>
      <c r="CL144" s="86"/>
      <c r="CM144" s="86"/>
      <c r="CN144" s="86"/>
      <c r="CO144" s="86"/>
      <c r="CP144" s="86"/>
      <c r="CQ144" s="86"/>
      <c r="CR144" s="86"/>
      <c r="CS144" s="86"/>
      <c r="CT144" s="86"/>
      <c r="CU144" s="86"/>
    </row>
    <row r="145" spans="1:99" s="15" customFormat="1" ht="12">
      <c r="A145" s="74" t="s">
        <v>262</v>
      </c>
      <c r="D145" s="15" t="s">
        <v>11</v>
      </c>
      <c r="H145" s="127"/>
      <c r="I145" s="476"/>
      <c r="J145" s="477"/>
      <c r="K145" s="476"/>
      <c r="L145" s="242"/>
      <c r="M145" s="103"/>
      <c r="N145" s="31"/>
      <c r="O145" s="31"/>
      <c r="P145" s="49"/>
      <c r="Q145" s="49"/>
      <c r="R145" s="226"/>
      <c r="S145" s="105"/>
      <c r="T145" s="111"/>
      <c r="U145" s="111"/>
      <c r="V145" s="227"/>
      <c r="W145" s="207"/>
      <c r="X145" s="111"/>
      <c r="Y145" s="111"/>
      <c r="Z145" s="227"/>
      <c r="AA145" s="207"/>
      <c r="AB145" s="111"/>
      <c r="AC145" s="111"/>
      <c r="AD145" s="227"/>
      <c r="AE145" s="207"/>
      <c r="AF145" s="111"/>
      <c r="AG145" s="111"/>
      <c r="AH145" s="111"/>
      <c r="AI145" s="111"/>
      <c r="AJ145" s="111"/>
      <c r="AK145" s="111"/>
      <c r="AL145" s="111"/>
      <c r="AM145" s="111"/>
      <c r="AN145" s="111"/>
      <c r="AO145" s="111"/>
      <c r="AP145" s="111"/>
      <c r="AQ145" s="111"/>
      <c r="AR145" s="111"/>
      <c r="AS145" s="111"/>
      <c r="AT145" s="111"/>
      <c r="AU145" s="111"/>
      <c r="AV145" s="111"/>
      <c r="AW145" s="111"/>
      <c r="AX145" s="111"/>
      <c r="AY145" s="111"/>
      <c r="AZ145" s="111"/>
      <c r="BA145" s="111"/>
      <c r="BB145" s="111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  <c r="CE145" s="86"/>
      <c r="CF145" s="86"/>
      <c r="CG145" s="86"/>
      <c r="CH145" s="86"/>
      <c r="CI145" s="86"/>
      <c r="CJ145" s="86"/>
      <c r="CK145" s="86"/>
      <c r="CL145" s="86"/>
      <c r="CM145" s="86"/>
      <c r="CN145" s="86"/>
      <c r="CO145" s="86"/>
      <c r="CP145" s="86"/>
      <c r="CQ145" s="86"/>
      <c r="CR145" s="86"/>
      <c r="CS145" s="86"/>
      <c r="CT145" s="86"/>
      <c r="CU145" s="86"/>
    </row>
    <row r="146" spans="1:99" s="15" customFormat="1" ht="12">
      <c r="A146" s="74" t="s">
        <v>263</v>
      </c>
      <c r="D146" s="15" t="s">
        <v>12</v>
      </c>
      <c r="H146" s="127"/>
      <c r="I146" s="476"/>
      <c r="J146" s="477"/>
      <c r="K146" s="476"/>
      <c r="L146" s="242"/>
      <c r="M146" s="103"/>
      <c r="N146" s="31"/>
      <c r="O146" s="31"/>
      <c r="P146" s="49"/>
      <c r="Q146" s="49"/>
      <c r="R146" s="226"/>
      <c r="S146" s="105"/>
      <c r="T146" s="111"/>
      <c r="U146" s="111"/>
      <c r="V146" s="227"/>
      <c r="W146" s="207"/>
      <c r="X146" s="111"/>
      <c r="Y146" s="111"/>
      <c r="Z146" s="227"/>
      <c r="AA146" s="207"/>
      <c r="AB146" s="111"/>
      <c r="AC146" s="111"/>
      <c r="AD146" s="227"/>
      <c r="AE146" s="207"/>
      <c r="AF146" s="111"/>
      <c r="AG146" s="111"/>
      <c r="AH146" s="111"/>
      <c r="AI146" s="111"/>
      <c r="AJ146" s="111"/>
      <c r="AK146" s="111"/>
      <c r="AL146" s="111"/>
      <c r="AM146" s="111"/>
      <c r="AN146" s="111"/>
      <c r="AO146" s="111"/>
      <c r="AP146" s="111"/>
      <c r="AQ146" s="111"/>
      <c r="AR146" s="111"/>
      <c r="AS146" s="111"/>
      <c r="AT146" s="111"/>
      <c r="AU146" s="111"/>
      <c r="AV146" s="111"/>
      <c r="AW146" s="111"/>
      <c r="AX146" s="111"/>
      <c r="AY146" s="111"/>
      <c r="AZ146" s="111"/>
      <c r="BA146" s="111"/>
      <c r="BB146" s="111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86"/>
      <c r="CG146" s="86"/>
      <c r="CH146" s="86"/>
      <c r="CI146" s="86"/>
      <c r="CJ146" s="86"/>
      <c r="CK146" s="86"/>
      <c r="CL146" s="86"/>
      <c r="CM146" s="86"/>
      <c r="CN146" s="86"/>
      <c r="CO146" s="86"/>
      <c r="CP146" s="86"/>
      <c r="CQ146" s="86"/>
      <c r="CR146" s="86"/>
      <c r="CS146" s="86"/>
      <c r="CT146" s="86"/>
      <c r="CU146" s="86"/>
    </row>
    <row r="147" spans="1:99" s="15" customFormat="1" ht="12">
      <c r="A147" s="74" t="s">
        <v>264</v>
      </c>
      <c r="D147" s="15" t="s">
        <v>13</v>
      </c>
      <c r="H147" s="127"/>
      <c r="I147" s="476"/>
      <c r="J147" s="474"/>
      <c r="K147" s="476"/>
      <c r="L147" s="242"/>
      <c r="M147" s="103"/>
      <c r="N147" s="31"/>
      <c r="O147" s="31"/>
      <c r="P147" s="49"/>
      <c r="Q147" s="49"/>
      <c r="R147" s="104"/>
      <c r="S147" s="105"/>
      <c r="T147" s="111"/>
      <c r="U147" s="111"/>
      <c r="V147" s="206"/>
      <c r="W147" s="207"/>
      <c r="X147" s="111"/>
      <c r="Y147" s="111"/>
      <c r="Z147" s="206"/>
      <c r="AA147" s="207"/>
      <c r="AB147" s="111"/>
      <c r="AC147" s="111"/>
      <c r="AD147" s="206"/>
      <c r="AE147" s="207"/>
      <c r="AF147" s="111"/>
      <c r="AG147" s="111"/>
      <c r="AH147" s="111"/>
      <c r="AI147" s="111"/>
      <c r="AJ147" s="111"/>
      <c r="AK147" s="111"/>
      <c r="AL147" s="111"/>
      <c r="AM147" s="111"/>
      <c r="AN147" s="111"/>
      <c r="AO147" s="111"/>
      <c r="AP147" s="111"/>
      <c r="AQ147" s="111"/>
      <c r="AR147" s="111"/>
      <c r="AS147" s="111"/>
      <c r="AT147" s="111"/>
      <c r="AU147" s="111"/>
      <c r="AV147" s="111"/>
      <c r="AW147" s="111"/>
      <c r="AX147" s="111"/>
      <c r="AY147" s="111"/>
      <c r="AZ147" s="111"/>
      <c r="BA147" s="111"/>
      <c r="BB147" s="111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  <c r="CB147" s="86"/>
      <c r="CC147" s="86"/>
      <c r="CD147" s="86"/>
      <c r="CE147" s="86"/>
      <c r="CF147" s="86"/>
      <c r="CG147" s="86"/>
      <c r="CH147" s="86"/>
      <c r="CI147" s="86"/>
      <c r="CJ147" s="86"/>
      <c r="CK147" s="86"/>
      <c r="CL147" s="86"/>
      <c r="CM147" s="86"/>
      <c r="CN147" s="86"/>
      <c r="CO147" s="86"/>
      <c r="CP147" s="86"/>
      <c r="CQ147" s="86"/>
      <c r="CR147" s="86"/>
      <c r="CS147" s="86"/>
      <c r="CT147" s="86"/>
      <c r="CU147" s="86"/>
    </row>
    <row r="148" spans="1:99" s="15" customFormat="1" ht="12">
      <c r="A148" s="74" t="s">
        <v>265</v>
      </c>
      <c r="D148" s="15" t="s">
        <v>14</v>
      </c>
      <c r="H148" s="127"/>
      <c r="I148" s="476"/>
      <c r="J148" s="476"/>
      <c r="K148" s="476"/>
      <c r="L148" s="242"/>
      <c r="M148" s="103"/>
      <c r="N148" s="31"/>
      <c r="O148" s="31"/>
      <c r="P148" s="49"/>
      <c r="Q148" s="103"/>
      <c r="R148" s="31"/>
      <c r="S148" s="105"/>
      <c r="T148" s="111"/>
      <c r="U148" s="142"/>
      <c r="V148" s="43"/>
      <c r="W148" s="207"/>
      <c r="X148" s="111"/>
      <c r="Y148" s="142"/>
      <c r="Z148" s="43"/>
      <c r="AA148" s="207"/>
      <c r="AB148" s="111"/>
      <c r="AC148" s="142"/>
      <c r="AD148" s="43"/>
      <c r="AE148" s="207"/>
      <c r="AF148" s="111"/>
      <c r="AG148" s="111"/>
      <c r="AH148" s="111"/>
      <c r="AI148" s="111"/>
      <c r="AJ148" s="111"/>
      <c r="AK148" s="111"/>
      <c r="AL148" s="111"/>
      <c r="AM148" s="111"/>
      <c r="AN148" s="111"/>
      <c r="AO148" s="111"/>
      <c r="AP148" s="111"/>
      <c r="AQ148" s="111"/>
      <c r="AR148" s="111"/>
      <c r="AS148" s="111"/>
      <c r="AT148" s="111"/>
      <c r="AU148" s="111"/>
      <c r="AV148" s="111"/>
      <c r="AW148" s="111"/>
      <c r="AX148" s="111"/>
      <c r="AY148" s="111"/>
      <c r="AZ148" s="111"/>
      <c r="BA148" s="111"/>
      <c r="BB148" s="111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  <c r="BZ148" s="86"/>
      <c r="CA148" s="86"/>
      <c r="CB148" s="86"/>
      <c r="CC148" s="86"/>
      <c r="CD148" s="86"/>
      <c r="CE148" s="86"/>
      <c r="CF148" s="86"/>
      <c r="CG148" s="86"/>
      <c r="CH148" s="86"/>
      <c r="CI148" s="86"/>
      <c r="CJ148" s="86"/>
      <c r="CK148" s="86"/>
      <c r="CL148" s="86"/>
      <c r="CM148" s="86"/>
      <c r="CN148" s="86"/>
      <c r="CO148" s="86"/>
      <c r="CP148" s="86"/>
      <c r="CQ148" s="86"/>
      <c r="CR148" s="86"/>
      <c r="CS148" s="86"/>
      <c r="CT148" s="86"/>
      <c r="CU148" s="86"/>
    </row>
    <row r="149" spans="1:99" s="15" customFormat="1" ht="12">
      <c r="A149" s="74"/>
      <c r="C149" s="15" t="s">
        <v>16</v>
      </c>
      <c r="H149" s="127"/>
      <c r="I149" s="476"/>
      <c r="J149" s="476"/>
      <c r="K149" s="476"/>
      <c r="L149" s="242"/>
      <c r="M149" s="103"/>
      <c r="N149" s="31"/>
      <c r="O149" s="31"/>
      <c r="P149" s="49"/>
      <c r="Q149" s="103"/>
      <c r="R149" s="105"/>
      <c r="S149" s="105"/>
      <c r="T149" s="111"/>
      <c r="U149" s="228"/>
      <c r="V149" s="207"/>
      <c r="W149" s="207"/>
      <c r="X149" s="111"/>
      <c r="Y149" s="228"/>
      <c r="Z149" s="207"/>
      <c r="AA149" s="207"/>
      <c r="AB149" s="111"/>
      <c r="AC149" s="228"/>
      <c r="AD149" s="207"/>
      <c r="AE149" s="207"/>
      <c r="AF149" s="111"/>
      <c r="AG149" s="111"/>
      <c r="AH149" s="111"/>
      <c r="AI149" s="111"/>
      <c r="AJ149" s="111"/>
      <c r="AK149" s="111"/>
      <c r="AL149" s="111"/>
      <c r="AM149" s="111"/>
      <c r="AN149" s="111"/>
      <c r="AO149" s="111"/>
      <c r="AP149" s="111"/>
      <c r="AQ149" s="111"/>
      <c r="AR149" s="111"/>
      <c r="AS149" s="111"/>
      <c r="AT149" s="111"/>
      <c r="AU149" s="111"/>
      <c r="AV149" s="111"/>
      <c r="AW149" s="111"/>
      <c r="AX149" s="111"/>
      <c r="AY149" s="111"/>
      <c r="AZ149" s="111"/>
      <c r="BA149" s="111"/>
      <c r="BB149" s="111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  <c r="CB149" s="86"/>
      <c r="CC149" s="86"/>
      <c r="CD149" s="86"/>
      <c r="CE149" s="86"/>
      <c r="CF149" s="86"/>
      <c r="CG149" s="86"/>
      <c r="CH149" s="86"/>
      <c r="CI149" s="86"/>
      <c r="CJ149" s="86"/>
      <c r="CK149" s="86"/>
      <c r="CL149" s="86"/>
      <c r="CM149" s="86"/>
      <c r="CN149" s="86"/>
      <c r="CO149" s="86"/>
      <c r="CP149" s="86"/>
      <c r="CQ149" s="86"/>
      <c r="CR149" s="86"/>
      <c r="CS149" s="86"/>
      <c r="CT149" s="86"/>
      <c r="CU149" s="86"/>
    </row>
    <row r="150" spans="1:99" s="15" customFormat="1" ht="12">
      <c r="A150" s="74"/>
      <c r="C150" s="15" t="s">
        <v>10</v>
      </c>
      <c r="H150" s="136"/>
      <c r="I150" s="476"/>
      <c r="J150" s="476"/>
      <c r="K150" s="476"/>
      <c r="L150" s="242"/>
      <c r="M150" s="103"/>
      <c r="N150" s="31"/>
      <c r="O150" s="31"/>
      <c r="P150" s="49"/>
      <c r="Q150" s="103"/>
      <c r="R150" s="104"/>
      <c r="S150" s="105"/>
      <c r="T150" s="111"/>
      <c r="U150" s="142"/>
      <c r="V150" s="206"/>
      <c r="W150" s="207"/>
      <c r="X150" s="111"/>
      <c r="Y150" s="142"/>
      <c r="Z150" s="206"/>
      <c r="AA150" s="207"/>
      <c r="AB150" s="111"/>
      <c r="AC150" s="142"/>
      <c r="AD150" s="206"/>
      <c r="AE150" s="207"/>
      <c r="AF150" s="111"/>
      <c r="AG150" s="111"/>
      <c r="AH150" s="111"/>
      <c r="AI150" s="111"/>
      <c r="AJ150" s="111"/>
      <c r="AK150" s="111"/>
      <c r="AL150" s="111"/>
      <c r="AM150" s="111"/>
      <c r="AN150" s="111"/>
      <c r="AO150" s="111"/>
      <c r="AP150" s="111"/>
      <c r="AQ150" s="111"/>
      <c r="AR150" s="111"/>
      <c r="AS150" s="111"/>
      <c r="AT150" s="111"/>
      <c r="AU150" s="111"/>
      <c r="AV150" s="111"/>
      <c r="AW150" s="111"/>
      <c r="AX150" s="111"/>
      <c r="AY150" s="111"/>
      <c r="AZ150" s="111"/>
      <c r="BA150" s="111"/>
      <c r="BB150" s="111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  <c r="BY150" s="86"/>
      <c r="BZ150" s="86"/>
      <c r="CA150" s="86"/>
      <c r="CB150" s="86"/>
      <c r="CC150" s="86"/>
      <c r="CD150" s="86"/>
      <c r="CE150" s="86"/>
      <c r="CF150" s="86"/>
      <c r="CG150" s="86"/>
      <c r="CH150" s="86"/>
      <c r="CI150" s="86"/>
      <c r="CJ150" s="86"/>
      <c r="CK150" s="86"/>
      <c r="CL150" s="86"/>
      <c r="CM150" s="86"/>
      <c r="CN150" s="86"/>
      <c r="CO150" s="86"/>
      <c r="CP150" s="86"/>
      <c r="CQ150" s="86"/>
      <c r="CR150" s="86"/>
      <c r="CS150" s="86"/>
      <c r="CT150" s="86"/>
      <c r="CU150" s="86"/>
    </row>
    <row r="151" spans="1:99" s="15" customFormat="1" ht="12">
      <c r="A151" s="74" t="s">
        <v>266</v>
      </c>
      <c r="D151" s="15" t="s">
        <v>17</v>
      </c>
      <c r="H151" s="136"/>
      <c r="I151" s="476"/>
      <c r="J151" s="476"/>
      <c r="K151" s="476"/>
      <c r="L151" s="242"/>
      <c r="M151" s="103"/>
      <c r="N151" s="31"/>
      <c r="O151" s="31"/>
      <c r="P151" s="49"/>
      <c r="Q151" s="103"/>
      <c r="R151" s="104"/>
      <c r="S151" s="105"/>
      <c r="T151" s="111"/>
      <c r="U151" s="142"/>
      <c r="V151" s="206"/>
      <c r="W151" s="207"/>
      <c r="X151" s="111"/>
      <c r="Y151" s="142"/>
      <c r="Z151" s="206"/>
      <c r="AA151" s="207"/>
      <c r="AB151" s="111"/>
      <c r="AC151" s="142"/>
      <c r="AD151" s="206"/>
      <c r="AE151" s="207"/>
      <c r="AF151" s="111"/>
      <c r="AG151" s="111"/>
      <c r="AH151" s="111"/>
      <c r="AI151" s="111"/>
      <c r="AJ151" s="111"/>
      <c r="AK151" s="111"/>
      <c r="AL151" s="111"/>
      <c r="AM151" s="111"/>
      <c r="AN151" s="111"/>
      <c r="AO151" s="111"/>
      <c r="AP151" s="111"/>
      <c r="AQ151" s="111"/>
      <c r="AR151" s="111"/>
      <c r="AS151" s="111"/>
      <c r="AT151" s="111"/>
      <c r="AU151" s="111"/>
      <c r="AV151" s="111"/>
      <c r="AW151" s="111"/>
      <c r="AX151" s="111"/>
      <c r="AY151" s="111"/>
      <c r="AZ151" s="111"/>
      <c r="BA151" s="111"/>
      <c r="BB151" s="111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  <c r="BY151" s="86"/>
      <c r="BZ151" s="86"/>
      <c r="CA151" s="86"/>
      <c r="CB151" s="86"/>
      <c r="CC151" s="86"/>
      <c r="CD151" s="86"/>
      <c r="CE151" s="86"/>
      <c r="CF151" s="86"/>
      <c r="CG151" s="86"/>
      <c r="CH151" s="86"/>
      <c r="CI151" s="86"/>
      <c r="CJ151" s="86"/>
      <c r="CK151" s="86"/>
      <c r="CL151" s="86"/>
      <c r="CM151" s="86"/>
      <c r="CN151" s="86"/>
      <c r="CO151" s="86"/>
      <c r="CP151" s="86"/>
      <c r="CQ151" s="86"/>
      <c r="CR151" s="86"/>
      <c r="CS151" s="86"/>
      <c r="CT151" s="86"/>
      <c r="CU151" s="86"/>
    </row>
    <row r="152" spans="1:99" s="15" customFormat="1" ht="36">
      <c r="A152" s="74" t="s">
        <v>267</v>
      </c>
      <c r="D152" s="15" t="s">
        <v>18</v>
      </c>
      <c r="H152" s="136" t="s">
        <v>449</v>
      </c>
      <c r="I152" s="476"/>
      <c r="J152" s="473" t="s">
        <v>503</v>
      </c>
      <c r="K152" s="476"/>
      <c r="L152" s="242"/>
      <c r="M152" s="103"/>
      <c r="N152" s="31"/>
      <c r="O152" s="31"/>
      <c r="P152" s="49"/>
      <c r="Q152" s="103"/>
      <c r="R152" s="104"/>
      <c r="S152" s="105"/>
      <c r="T152" s="111"/>
      <c r="U152" s="142"/>
      <c r="V152" s="206"/>
      <c r="W152" s="207"/>
      <c r="X152" s="111"/>
      <c r="Y152" s="142"/>
      <c r="Z152" s="206"/>
      <c r="AA152" s="207"/>
      <c r="AB152" s="111"/>
      <c r="AC152" s="142"/>
      <c r="AD152" s="206"/>
      <c r="AE152" s="207"/>
      <c r="AF152" s="111"/>
      <c r="AG152" s="111"/>
      <c r="AH152" s="111"/>
      <c r="AI152" s="111"/>
      <c r="AJ152" s="111"/>
      <c r="AK152" s="111"/>
      <c r="AL152" s="111"/>
      <c r="AM152" s="111"/>
      <c r="AN152" s="111"/>
      <c r="AO152" s="111"/>
      <c r="AP152" s="111"/>
      <c r="AQ152" s="111"/>
      <c r="AR152" s="111"/>
      <c r="AS152" s="111"/>
      <c r="AT152" s="111"/>
      <c r="AU152" s="111"/>
      <c r="AV152" s="111"/>
      <c r="AW152" s="111"/>
      <c r="AX152" s="111"/>
      <c r="AY152" s="111"/>
      <c r="AZ152" s="111"/>
      <c r="BA152" s="111"/>
      <c r="BB152" s="111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6"/>
      <c r="BY152" s="86"/>
      <c r="BZ152" s="86"/>
      <c r="CA152" s="86"/>
      <c r="CB152" s="86"/>
      <c r="CC152" s="86"/>
      <c r="CD152" s="86"/>
      <c r="CE152" s="86"/>
      <c r="CF152" s="86"/>
      <c r="CG152" s="86"/>
      <c r="CH152" s="86"/>
      <c r="CI152" s="86"/>
      <c r="CJ152" s="86"/>
      <c r="CK152" s="86"/>
      <c r="CL152" s="86"/>
      <c r="CM152" s="86"/>
      <c r="CN152" s="86"/>
      <c r="CO152" s="86"/>
      <c r="CP152" s="86"/>
      <c r="CQ152" s="86"/>
      <c r="CR152" s="86"/>
      <c r="CS152" s="86"/>
      <c r="CT152" s="86"/>
      <c r="CU152" s="86"/>
    </row>
    <row r="153" spans="1:99" s="15" customFormat="1" ht="12">
      <c r="A153" s="74"/>
      <c r="C153" s="15" t="s">
        <v>15</v>
      </c>
      <c r="H153" s="136"/>
      <c r="I153" s="476"/>
      <c r="J153" s="476"/>
      <c r="K153" s="476"/>
      <c r="L153" s="242"/>
      <c r="M153" s="103"/>
      <c r="N153" s="31"/>
      <c r="O153" s="31"/>
      <c r="P153" s="49"/>
      <c r="Q153" s="103"/>
      <c r="R153" s="104"/>
      <c r="S153" s="105"/>
      <c r="T153" s="111"/>
      <c r="U153" s="142"/>
      <c r="V153" s="206"/>
      <c r="W153" s="207"/>
      <c r="X153" s="111"/>
      <c r="Y153" s="142"/>
      <c r="Z153" s="206"/>
      <c r="AA153" s="207"/>
      <c r="AB153" s="111"/>
      <c r="AC153" s="142"/>
      <c r="AD153" s="206"/>
      <c r="AE153" s="207"/>
      <c r="AF153" s="111"/>
      <c r="AG153" s="111"/>
      <c r="AH153" s="111"/>
      <c r="AI153" s="111"/>
      <c r="AJ153" s="111"/>
      <c r="AK153" s="111"/>
      <c r="AL153" s="111"/>
      <c r="AM153" s="111"/>
      <c r="AN153" s="111"/>
      <c r="AO153" s="111"/>
      <c r="AP153" s="111"/>
      <c r="AQ153" s="111"/>
      <c r="AR153" s="111"/>
      <c r="AS153" s="111"/>
      <c r="AT153" s="111"/>
      <c r="AU153" s="111"/>
      <c r="AV153" s="111"/>
      <c r="AW153" s="111"/>
      <c r="AX153" s="111"/>
      <c r="AY153" s="111"/>
      <c r="AZ153" s="111"/>
      <c r="BA153" s="111"/>
      <c r="BB153" s="111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  <c r="BY153" s="86"/>
      <c r="BZ153" s="86"/>
      <c r="CA153" s="86"/>
      <c r="CB153" s="86"/>
      <c r="CC153" s="86"/>
      <c r="CD153" s="86"/>
      <c r="CE153" s="86"/>
      <c r="CF153" s="86"/>
      <c r="CG153" s="86"/>
      <c r="CH153" s="86"/>
      <c r="CI153" s="86"/>
      <c r="CJ153" s="86"/>
      <c r="CK153" s="86"/>
      <c r="CL153" s="86"/>
      <c r="CM153" s="86"/>
      <c r="CN153" s="86"/>
      <c r="CO153" s="86"/>
      <c r="CP153" s="86"/>
      <c r="CQ153" s="86"/>
      <c r="CR153" s="86"/>
      <c r="CS153" s="86"/>
      <c r="CT153" s="86"/>
      <c r="CU153" s="86"/>
    </row>
    <row r="154" spans="1:99" s="15" customFormat="1" ht="12">
      <c r="A154" s="74" t="s">
        <v>268</v>
      </c>
      <c r="D154" s="15" t="s">
        <v>17</v>
      </c>
      <c r="H154" s="127"/>
      <c r="I154" s="476"/>
      <c r="J154" s="476"/>
      <c r="K154" s="476"/>
      <c r="L154" s="242"/>
      <c r="M154" s="103"/>
      <c r="N154" s="31"/>
      <c r="O154" s="31"/>
      <c r="P154" s="49"/>
      <c r="Q154" s="103"/>
      <c r="R154" s="105"/>
      <c r="S154" s="105"/>
      <c r="T154" s="111"/>
      <c r="U154" s="142"/>
      <c r="V154" s="207"/>
      <c r="W154" s="207"/>
      <c r="X154" s="111"/>
      <c r="Y154" s="142"/>
      <c r="Z154" s="207"/>
      <c r="AA154" s="207"/>
      <c r="AB154" s="111"/>
      <c r="AC154" s="142"/>
      <c r="AD154" s="207"/>
      <c r="AE154" s="207"/>
      <c r="AF154" s="111"/>
      <c r="AG154" s="111"/>
      <c r="AH154" s="111"/>
      <c r="AI154" s="111"/>
      <c r="AJ154" s="111"/>
      <c r="AK154" s="111"/>
      <c r="AL154" s="111"/>
      <c r="AM154" s="111"/>
      <c r="AN154" s="111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  <c r="BY154" s="86"/>
      <c r="BZ154" s="86"/>
      <c r="CA154" s="86"/>
      <c r="CB154" s="86"/>
      <c r="CC154" s="86"/>
      <c r="CD154" s="86"/>
      <c r="CE154" s="86"/>
      <c r="CF154" s="86"/>
      <c r="CG154" s="86"/>
      <c r="CH154" s="86"/>
      <c r="CI154" s="86"/>
      <c r="CJ154" s="86"/>
      <c r="CK154" s="86"/>
      <c r="CL154" s="86"/>
      <c r="CM154" s="86"/>
      <c r="CN154" s="86"/>
      <c r="CO154" s="86"/>
      <c r="CP154" s="86"/>
      <c r="CQ154" s="86"/>
      <c r="CR154" s="86"/>
      <c r="CS154" s="86"/>
      <c r="CT154" s="86"/>
      <c r="CU154" s="86"/>
    </row>
    <row r="155" spans="1:99" s="15" customFormat="1" ht="12">
      <c r="A155" s="74" t="s">
        <v>269</v>
      </c>
      <c r="D155" s="15" t="s">
        <v>19</v>
      </c>
      <c r="H155" s="136"/>
      <c r="I155" s="476"/>
      <c r="J155" s="476"/>
      <c r="K155" s="476"/>
      <c r="L155" s="242"/>
      <c r="M155" s="103"/>
      <c r="N155" s="31"/>
      <c r="O155" s="31"/>
      <c r="P155" s="49"/>
      <c r="Q155" s="103"/>
      <c r="R155" s="104"/>
      <c r="S155" s="105"/>
      <c r="T155" s="111"/>
      <c r="U155" s="142"/>
      <c r="V155" s="206"/>
      <c r="W155" s="207"/>
      <c r="X155" s="111"/>
      <c r="Y155" s="142"/>
      <c r="Z155" s="206"/>
      <c r="AA155" s="207"/>
      <c r="AB155" s="111"/>
      <c r="AC155" s="142"/>
      <c r="AD155" s="206"/>
      <c r="AE155" s="207"/>
      <c r="AF155" s="111"/>
      <c r="AG155" s="111"/>
      <c r="AH155" s="111"/>
      <c r="AI155" s="111"/>
      <c r="AJ155" s="111"/>
      <c r="AK155" s="111"/>
      <c r="AL155" s="111"/>
      <c r="AM155" s="111"/>
      <c r="AN155" s="111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  <c r="BY155" s="86"/>
      <c r="BZ155" s="86"/>
      <c r="CA155" s="86"/>
      <c r="CB155" s="86"/>
      <c r="CC155" s="86"/>
      <c r="CD155" s="86"/>
      <c r="CE155" s="86"/>
      <c r="CF155" s="86"/>
      <c r="CG155" s="86"/>
      <c r="CH155" s="86"/>
      <c r="CI155" s="86"/>
      <c r="CJ155" s="86"/>
      <c r="CK155" s="86"/>
      <c r="CL155" s="86"/>
      <c r="CM155" s="86"/>
      <c r="CN155" s="86"/>
      <c r="CO155" s="86"/>
      <c r="CP155" s="86"/>
      <c r="CQ155" s="86"/>
      <c r="CR155" s="86"/>
      <c r="CS155" s="86"/>
      <c r="CT155" s="86"/>
      <c r="CU155" s="86"/>
    </row>
    <row r="156" spans="1:99" s="15" customFormat="1" ht="12">
      <c r="A156" s="74"/>
      <c r="C156" s="15" t="s">
        <v>20</v>
      </c>
      <c r="H156" s="244"/>
      <c r="I156" s="476"/>
      <c r="J156" s="476"/>
      <c r="K156" s="476"/>
      <c r="L156" s="242"/>
      <c r="M156" s="103"/>
      <c r="N156" s="31"/>
      <c r="O156" s="31"/>
      <c r="P156" s="49"/>
      <c r="Q156" s="103"/>
      <c r="R156" s="104"/>
      <c r="S156" s="105"/>
      <c r="T156" s="111"/>
      <c r="U156" s="142"/>
      <c r="V156" s="206"/>
      <c r="W156" s="207"/>
      <c r="X156" s="111"/>
      <c r="Y156" s="142"/>
      <c r="Z156" s="206"/>
      <c r="AA156" s="207"/>
      <c r="AB156" s="111"/>
      <c r="AC156" s="142"/>
      <c r="AD156" s="206"/>
      <c r="AE156" s="207"/>
      <c r="AF156" s="111"/>
      <c r="AG156" s="111"/>
      <c r="AH156" s="111"/>
      <c r="AI156" s="111"/>
      <c r="AJ156" s="111"/>
      <c r="AK156" s="111"/>
      <c r="AL156" s="111"/>
      <c r="AM156" s="111"/>
      <c r="AN156" s="111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A156" s="86"/>
      <c r="CB156" s="86"/>
      <c r="CC156" s="86"/>
      <c r="CD156" s="86"/>
      <c r="CE156" s="86"/>
      <c r="CF156" s="86"/>
      <c r="CG156" s="86"/>
      <c r="CH156" s="86"/>
      <c r="CI156" s="86"/>
      <c r="CJ156" s="86"/>
      <c r="CK156" s="86"/>
      <c r="CL156" s="86"/>
      <c r="CM156" s="86"/>
      <c r="CN156" s="86"/>
      <c r="CO156" s="86"/>
      <c r="CP156" s="86"/>
      <c r="CQ156" s="86"/>
      <c r="CR156" s="86"/>
      <c r="CS156" s="86"/>
      <c r="CT156" s="86"/>
      <c r="CU156" s="86"/>
    </row>
    <row r="157" spans="1:99" s="15" customFormat="1" ht="12">
      <c r="A157" s="74"/>
      <c r="B157" s="86" t="s">
        <v>193</v>
      </c>
      <c r="H157" s="244"/>
      <c r="I157" s="476"/>
      <c r="J157" s="476"/>
      <c r="K157" s="476"/>
      <c r="L157" s="242"/>
      <c r="M157" s="103"/>
      <c r="N157" s="31"/>
      <c r="O157" s="31"/>
      <c r="P157" s="49"/>
      <c r="Q157" s="103"/>
      <c r="R157" s="31"/>
      <c r="S157" s="31"/>
      <c r="T157" s="111"/>
      <c r="U157" s="142"/>
      <c r="V157" s="43"/>
      <c r="W157" s="43"/>
      <c r="X157" s="111"/>
      <c r="Y157" s="142"/>
      <c r="Z157" s="43"/>
      <c r="AA157" s="43"/>
      <c r="AB157" s="111"/>
      <c r="AC157" s="142"/>
      <c r="AD157" s="43"/>
      <c r="AE157" s="43"/>
      <c r="AF157" s="111"/>
      <c r="AG157" s="111"/>
      <c r="AH157" s="111"/>
      <c r="AI157" s="111"/>
      <c r="AJ157" s="111"/>
      <c r="AK157" s="111"/>
      <c r="AL157" s="111"/>
      <c r="AM157" s="111"/>
      <c r="AN157" s="111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  <c r="BY157" s="86"/>
      <c r="BZ157" s="86"/>
      <c r="CA157" s="86"/>
      <c r="CB157" s="86"/>
      <c r="CC157" s="86"/>
      <c r="CD157" s="86"/>
      <c r="CE157" s="86"/>
      <c r="CF157" s="86"/>
      <c r="CG157" s="86"/>
      <c r="CH157" s="86"/>
      <c r="CI157" s="86"/>
      <c r="CJ157" s="86"/>
      <c r="CK157" s="86"/>
      <c r="CL157" s="86"/>
      <c r="CM157" s="86"/>
      <c r="CN157" s="86"/>
      <c r="CO157" s="86"/>
      <c r="CP157" s="86"/>
      <c r="CQ157" s="86"/>
      <c r="CR157" s="86"/>
      <c r="CS157" s="86"/>
      <c r="CT157" s="86"/>
      <c r="CU157" s="86"/>
    </row>
    <row r="158" spans="1:99" s="15" customFormat="1" ht="12">
      <c r="A158" s="337"/>
      <c r="B158" s="230"/>
      <c r="C158" s="230"/>
      <c r="D158" s="230"/>
      <c r="E158" s="230"/>
      <c r="F158" s="230"/>
      <c r="G158" s="230"/>
      <c r="H158" s="244"/>
      <c r="I158" s="476"/>
      <c r="J158" s="476"/>
      <c r="K158" s="476"/>
      <c r="L158" s="242"/>
      <c r="M158" s="103"/>
      <c r="N158" s="31"/>
      <c r="O158" s="31"/>
      <c r="P158" s="49"/>
      <c r="Q158" s="103"/>
      <c r="R158" s="104"/>
      <c r="S158" s="105"/>
      <c r="T158" s="111"/>
      <c r="U158" s="142"/>
      <c r="V158" s="206"/>
      <c r="W158" s="207"/>
      <c r="X158" s="111"/>
      <c r="Y158" s="142"/>
      <c r="Z158" s="206"/>
      <c r="AA158" s="207"/>
      <c r="AB158" s="111"/>
      <c r="AC158" s="142"/>
      <c r="AD158" s="206"/>
      <c r="AE158" s="207"/>
      <c r="AF158" s="111"/>
      <c r="AG158" s="111"/>
      <c r="AH158" s="111"/>
      <c r="AI158" s="111"/>
      <c r="AJ158" s="111"/>
      <c r="AK158" s="111"/>
      <c r="AL158" s="111"/>
      <c r="AM158" s="111"/>
      <c r="AN158" s="111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6"/>
      <c r="BY158" s="86"/>
      <c r="BZ158" s="86"/>
      <c r="CA158" s="86"/>
      <c r="CB158" s="86"/>
      <c r="CC158" s="86"/>
      <c r="CD158" s="86"/>
      <c r="CE158" s="86"/>
      <c r="CF158" s="86"/>
      <c r="CG158" s="86"/>
      <c r="CH158" s="86"/>
      <c r="CI158" s="86"/>
      <c r="CJ158" s="86"/>
      <c r="CK158" s="86"/>
      <c r="CL158" s="86"/>
      <c r="CM158" s="86"/>
      <c r="CN158" s="86"/>
      <c r="CO158" s="86"/>
      <c r="CP158" s="86"/>
      <c r="CQ158" s="86"/>
      <c r="CR158" s="86"/>
      <c r="CS158" s="86"/>
      <c r="CT158" s="86"/>
      <c r="CU158" s="86"/>
    </row>
    <row r="159" spans="1:99" s="15" customFormat="1" ht="12">
      <c r="A159" s="74" t="s">
        <v>270</v>
      </c>
      <c r="B159" s="15" t="s">
        <v>194</v>
      </c>
      <c r="G159" s="230"/>
      <c r="H159" s="244"/>
      <c r="I159" s="476"/>
      <c r="J159" s="476"/>
      <c r="K159" s="476"/>
      <c r="L159" s="242"/>
      <c r="M159" s="103"/>
      <c r="N159" s="31"/>
      <c r="O159" s="31"/>
      <c r="P159" s="49"/>
      <c r="Q159" s="103"/>
      <c r="R159" s="105"/>
      <c r="S159" s="105"/>
      <c r="T159" s="111"/>
      <c r="U159" s="142"/>
      <c r="V159" s="207"/>
      <c r="W159" s="207"/>
      <c r="X159" s="111"/>
      <c r="Y159" s="142"/>
      <c r="Z159" s="207"/>
      <c r="AA159" s="207"/>
      <c r="AB159" s="111"/>
      <c r="AC159" s="142"/>
      <c r="AD159" s="207"/>
      <c r="AE159" s="207"/>
      <c r="AF159" s="111"/>
      <c r="AG159" s="111"/>
      <c r="AH159" s="111"/>
      <c r="AI159" s="111"/>
      <c r="AJ159" s="111"/>
      <c r="AK159" s="111"/>
      <c r="AL159" s="111"/>
      <c r="AM159" s="111"/>
      <c r="AN159" s="111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6"/>
      <c r="BY159" s="86"/>
      <c r="BZ159" s="86"/>
      <c r="CA159" s="86"/>
      <c r="CB159" s="86"/>
      <c r="CC159" s="86"/>
      <c r="CD159" s="86"/>
      <c r="CE159" s="86"/>
      <c r="CF159" s="86"/>
      <c r="CG159" s="86"/>
      <c r="CH159" s="86"/>
      <c r="CI159" s="86"/>
      <c r="CJ159" s="86"/>
      <c r="CK159" s="86"/>
      <c r="CL159" s="86"/>
      <c r="CM159" s="86"/>
      <c r="CN159" s="86"/>
      <c r="CO159" s="86"/>
      <c r="CP159" s="86"/>
      <c r="CQ159" s="86"/>
      <c r="CR159" s="86"/>
      <c r="CS159" s="86"/>
      <c r="CT159" s="86"/>
      <c r="CU159" s="86"/>
    </row>
    <row r="160" spans="1:99" s="15" customFormat="1" ht="12">
      <c r="A160" s="74" t="s">
        <v>271</v>
      </c>
      <c r="C160" s="15" t="s">
        <v>30</v>
      </c>
      <c r="G160" s="230"/>
      <c r="H160" s="127" t="s">
        <v>450</v>
      </c>
      <c r="I160" s="476"/>
      <c r="J160" s="474"/>
      <c r="K160" s="476"/>
      <c r="L160" s="242"/>
      <c r="M160" s="103"/>
      <c r="N160" s="31"/>
      <c r="O160" s="31"/>
      <c r="P160" s="49"/>
      <c r="Q160" s="103"/>
      <c r="R160" s="31"/>
      <c r="S160" s="105"/>
      <c r="T160" s="111"/>
      <c r="U160" s="142"/>
      <c r="V160" s="43"/>
      <c r="W160" s="207"/>
      <c r="X160" s="111"/>
      <c r="Y160" s="142"/>
      <c r="Z160" s="43"/>
      <c r="AA160" s="207"/>
      <c r="AB160" s="111"/>
      <c r="AC160" s="142"/>
      <c r="AD160" s="43"/>
      <c r="AE160" s="207"/>
      <c r="AF160" s="111"/>
      <c r="AG160" s="111"/>
      <c r="AH160" s="111"/>
      <c r="AI160" s="111"/>
      <c r="AJ160" s="111"/>
      <c r="AK160" s="111"/>
      <c r="AL160" s="111"/>
      <c r="AM160" s="111"/>
      <c r="AN160" s="111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  <c r="BY160" s="86"/>
      <c r="BZ160" s="86"/>
      <c r="CA160" s="86"/>
      <c r="CB160" s="86"/>
      <c r="CC160" s="86"/>
      <c r="CD160" s="86"/>
      <c r="CE160" s="86"/>
      <c r="CF160" s="86"/>
      <c r="CG160" s="86"/>
      <c r="CH160" s="86"/>
      <c r="CI160" s="86"/>
      <c r="CJ160" s="86"/>
      <c r="CK160" s="86"/>
      <c r="CL160" s="86"/>
      <c r="CM160" s="86"/>
      <c r="CN160" s="86"/>
      <c r="CO160" s="86"/>
      <c r="CP160" s="86"/>
      <c r="CQ160" s="86"/>
      <c r="CR160" s="86"/>
      <c r="CS160" s="86"/>
      <c r="CT160" s="86"/>
      <c r="CU160" s="86"/>
    </row>
    <row r="161" spans="1:99" s="15" customFormat="1" ht="12">
      <c r="A161" s="74"/>
      <c r="C161" s="15" t="s">
        <v>10</v>
      </c>
      <c r="G161" s="230"/>
      <c r="H161" s="136" t="s">
        <v>429</v>
      </c>
      <c r="I161" s="476"/>
      <c r="J161" s="477"/>
      <c r="K161" s="476"/>
      <c r="L161" s="242"/>
      <c r="M161" s="103"/>
      <c r="N161" s="31"/>
      <c r="O161" s="31"/>
      <c r="P161" s="49"/>
      <c r="Q161" s="103"/>
      <c r="R161" s="105"/>
      <c r="S161" s="105"/>
      <c r="T161" s="111"/>
      <c r="U161" s="142"/>
      <c r="V161" s="207"/>
      <c r="W161" s="207"/>
      <c r="X161" s="111"/>
      <c r="Y161" s="142"/>
      <c r="Z161" s="207"/>
      <c r="AA161" s="207"/>
      <c r="AB161" s="111"/>
      <c r="AC161" s="142"/>
      <c r="AD161" s="207"/>
      <c r="AE161" s="207"/>
      <c r="AF161" s="111"/>
      <c r="AG161" s="111"/>
      <c r="AH161" s="111"/>
      <c r="AI161" s="111"/>
      <c r="AJ161" s="111"/>
      <c r="AK161" s="111"/>
      <c r="AL161" s="111"/>
      <c r="AM161" s="111"/>
      <c r="AN161" s="111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6"/>
      <c r="BZ161" s="86"/>
      <c r="CA161" s="86"/>
      <c r="CB161" s="86"/>
      <c r="CC161" s="86"/>
      <c r="CD161" s="86"/>
      <c r="CE161" s="86"/>
      <c r="CF161" s="86"/>
      <c r="CG161" s="86"/>
      <c r="CH161" s="86"/>
      <c r="CI161" s="86"/>
      <c r="CJ161" s="86"/>
      <c r="CK161" s="86"/>
      <c r="CL161" s="86"/>
      <c r="CM161" s="86"/>
      <c r="CN161" s="86"/>
      <c r="CO161" s="86"/>
      <c r="CP161" s="86"/>
      <c r="CQ161" s="86"/>
      <c r="CR161" s="86"/>
      <c r="CS161" s="86"/>
      <c r="CT161" s="86"/>
      <c r="CU161" s="86"/>
    </row>
    <row r="162" spans="1:99" s="15" customFormat="1" ht="60">
      <c r="A162" s="74" t="s">
        <v>272</v>
      </c>
      <c r="D162" s="15" t="s">
        <v>11</v>
      </c>
      <c r="G162" s="230"/>
      <c r="H162" s="127" t="s">
        <v>451</v>
      </c>
      <c r="I162" s="476"/>
      <c r="J162" s="127" t="s">
        <v>502</v>
      </c>
      <c r="K162" s="476"/>
      <c r="L162" s="242"/>
      <c r="M162" s="103"/>
      <c r="N162" s="31"/>
      <c r="O162" s="31"/>
      <c r="P162" s="49"/>
      <c r="Q162" s="103"/>
      <c r="R162" s="105"/>
      <c r="S162" s="105"/>
      <c r="T162" s="111"/>
      <c r="U162" s="142"/>
      <c r="V162" s="207"/>
      <c r="W162" s="207"/>
      <c r="X162" s="111"/>
      <c r="Y162" s="142"/>
      <c r="Z162" s="207"/>
      <c r="AA162" s="207"/>
      <c r="AB162" s="111"/>
      <c r="AC162" s="142"/>
      <c r="AD162" s="207"/>
      <c r="AE162" s="207"/>
      <c r="AF162" s="111"/>
      <c r="AG162" s="111"/>
      <c r="AH162" s="111"/>
      <c r="AI162" s="111"/>
      <c r="AJ162" s="111"/>
      <c r="AK162" s="111"/>
      <c r="AL162" s="111"/>
      <c r="AM162" s="111"/>
      <c r="AN162" s="111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  <c r="BY162" s="86"/>
      <c r="BZ162" s="86"/>
      <c r="CA162" s="86"/>
      <c r="CB162" s="86"/>
      <c r="CC162" s="86"/>
      <c r="CD162" s="86"/>
      <c r="CE162" s="86"/>
      <c r="CF162" s="86"/>
      <c r="CG162" s="86"/>
      <c r="CH162" s="86"/>
      <c r="CI162" s="86"/>
      <c r="CJ162" s="86"/>
      <c r="CK162" s="86"/>
      <c r="CL162" s="86"/>
      <c r="CM162" s="86"/>
      <c r="CN162" s="86"/>
      <c r="CO162" s="86"/>
      <c r="CP162" s="86"/>
      <c r="CQ162" s="86"/>
      <c r="CR162" s="86"/>
      <c r="CS162" s="86"/>
      <c r="CT162" s="86"/>
      <c r="CU162" s="86"/>
    </row>
    <row r="163" spans="1:99" s="15" customFormat="1" ht="12">
      <c r="A163" s="74" t="s">
        <v>273</v>
      </c>
      <c r="D163" s="15" t="s">
        <v>12</v>
      </c>
      <c r="G163" s="230"/>
      <c r="H163" s="121" t="s">
        <v>452</v>
      </c>
      <c r="I163" s="476"/>
      <c r="J163" s="477"/>
      <c r="K163" s="476"/>
      <c r="L163" s="242"/>
      <c r="M163" s="103"/>
      <c r="N163" s="226"/>
      <c r="O163" s="31"/>
      <c r="P163" s="49"/>
      <c r="Q163" s="103"/>
      <c r="R163" s="105"/>
      <c r="S163" s="105"/>
      <c r="T163" s="111"/>
      <c r="U163" s="142"/>
      <c r="V163" s="207"/>
      <c r="W163" s="207"/>
      <c r="X163" s="111"/>
      <c r="Y163" s="142"/>
      <c r="Z163" s="207"/>
      <c r="AA163" s="207"/>
      <c r="AB163" s="111"/>
      <c r="AC163" s="142"/>
      <c r="AD163" s="207"/>
      <c r="AE163" s="207"/>
      <c r="AF163" s="111"/>
      <c r="AG163" s="111"/>
      <c r="AH163" s="111"/>
      <c r="AI163" s="111"/>
      <c r="AJ163" s="111"/>
      <c r="AK163" s="111"/>
      <c r="AL163" s="111"/>
      <c r="AM163" s="111"/>
      <c r="AN163" s="111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  <c r="BY163" s="86"/>
      <c r="BZ163" s="86"/>
      <c r="CA163" s="86"/>
      <c r="CB163" s="86"/>
      <c r="CC163" s="86"/>
      <c r="CD163" s="86"/>
      <c r="CE163" s="86"/>
      <c r="CF163" s="86"/>
      <c r="CG163" s="86"/>
      <c r="CH163" s="86"/>
      <c r="CI163" s="86"/>
      <c r="CJ163" s="86"/>
      <c r="CK163" s="86"/>
      <c r="CL163" s="86"/>
      <c r="CM163" s="86"/>
      <c r="CN163" s="86"/>
      <c r="CO163" s="86"/>
      <c r="CP163" s="86"/>
      <c r="CQ163" s="86"/>
      <c r="CR163" s="86"/>
      <c r="CS163" s="86"/>
      <c r="CT163" s="86"/>
      <c r="CU163" s="86"/>
    </row>
    <row r="164" spans="1:99" s="15" customFormat="1" ht="12">
      <c r="A164" s="74" t="s">
        <v>274</v>
      </c>
      <c r="D164" s="15" t="s">
        <v>13</v>
      </c>
      <c r="G164" s="230"/>
      <c r="H164" s="127"/>
      <c r="I164" s="476"/>
      <c r="J164" s="477"/>
      <c r="K164" s="476"/>
      <c r="L164" s="242"/>
      <c r="M164" s="103"/>
      <c r="N164" s="31"/>
      <c r="O164" s="31"/>
      <c r="P164" s="49"/>
      <c r="Q164" s="103"/>
      <c r="R164" s="31"/>
      <c r="S164" s="31"/>
      <c r="T164" s="111"/>
      <c r="U164" s="142"/>
      <c r="V164" s="43"/>
      <c r="W164" s="43"/>
      <c r="X164" s="111"/>
      <c r="Y164" s="142"/>
      <c r="Z164" s="43"/>
      <c r="AA164" s="43"/>
      <c r="AB164" s="111"/>
      <c r="AC164" s="142"/>
      <c r="AD164" s="43"/>
      <c r="AE164" s="43"/>
      <c r="AF164" s="111"/>
      <c r="AG164" s="111"/>
      <c r="AH164" s="111"/>
      <c r="AI164" s="111"/>
      <c r="AJ164" s="111"/>
      <c r="AK164" s="111"/>
      <c r="AL164" s="111"/>
      <c r="AM164" s="111"/>
      <c r="AN164" s="111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  <c r="BX164" s="86"/>
      <c r="BY164" s="86"/>
      <c r="BZ164" s="86"/>
      <c r="CA164" s="86"/>
      <c r="CB164" s="86"/>
      <c r="CC164" s="86"/>
      <c r="CD164" s="86"/>
      <c r="CE164" s="86"/>
      <c r="CF164" s="86"/>
      <c r="CG164" s="86"/>
      <c r="CH164" s="86"/>
      <c r="CI164" s="86"/>
      <c r="CJ164" s="86"/>
      <c r="CK164" s="86"/>
      <c r="CL164" s="86"/>
      <c r="CM164" s="86"/>
      <c r="CN164" s="86"/>
      <c r="CO164" s="86"/>
      <c r="CP164" s="86"/>
      <c r="CQ164" s="86"/>
      <c r="CR164" s="86"/>
      <c r="CS164" s="86"/>
      <c r="CT164" s="86"/>
      <c r="CU164" s="86"/>
    </row>
    <row r="165" spans="1:99" s="15" customFormat="1" ht="12">
      <c r="A165" s="74" t="s">
        <v>275</v>
      </c>
      <c r="D165" s="15" t="s">
        <v>14</v>
      </c>
      <c r="G165" s="230"/>
      <c r="H165" s="127" t="s">
        <v>453</v>
      </c>
      <c r="I165" s="476"/>
      <c r="J165" s="477"/>
      <c r="K165" s="476"/>
      <c r="L165" s="242"/>
      <c r="M165" s="103"/>
      <c r="N165" s="31"/>
      <c r="O165" s="31"/>
      <c r="P165" s="49"/>
      <c r="Q165" s="103"/>
      <c r="R165" s="31"/>
      <c r="S165" s="31"/>
      <c r="T165" s="111"/>
      <c r="U165" s="142"/>
      <c r="V165" s="43"/>
      <c r="W165" s="43"/>
      <c r="X165" s="111"/>
      <c r="Y165" s="142"/>
      <c r="Z165" s="43"/>
      <c r="AA165" s="43"/>
      <c r="AB165" s="111"/>
      <c r="AC165" s="142"/>
      <c r="AD165" s="43"/>
      <c r="AE165" s="43"/>
      <c r="AF165" s="111"/>
      <c r="AG165" s="111"/>
      <c r="AH165" s="111"/>
      <c r="AI165" s="111"/>
      <c r="AJ165" s="111"/>
      <c r="AK165" s="111"/>
      <c r="AL165" s="111"/>
      <c r="AM165" s="111"/>
      <c r="AN165" s="111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  <c r="BV165" s="86"/>
      <c r="BW165" s="86"/>
      <c r="BX165" s="86"/>
      <c r="BY165" s="86"/>
      <c r="BZ165" s="86"/>
      <c r="CA165" s="86"/>
      <c r="CB165" s="86"/>
      <c r="CC165" s="86"/>
      <c r="CD165" s="86"/>
      <c r="CE165" s="86"/>
      <c r="CF165" s="86"/>
      <c r="CG165" s="86"/>
      <c r="CH165" s="86"/>
      <c r="CI165" s="86"/>
      <c r="CJ165" s="86"/>
      <c r="CK165" s="86"/>
      <c r="CL165" s="86"/>
      <c r="CM165" s="86"/>
      <c r="CN165" s="86"/>
      <c r="CO165" s="86"/>
      <c r="CP165" s="86"/>
      <c r="CQ165" s="86"/>
      <c r="CR165" s="86"/>
      <c r="CS165" s="86"/>
      <c r="CT165" s="86"/>
      <c r="CU165" s="86"/>
    </row>
    <row r="166" spans="1:227" s="15" customFormat="1" ht="12">
      <c r="A166" s="74"/>
      <c r="C166" s="15" t="s">
        <v>15</v>
      </c>
      <c r="G166" s="230"/>
      <c r="H166" s="127"/>
      <c r="I166" s="476"/>
      <c r="J166" s="477"/>
      <c r="K166" s="476"/>
      <c r="L166" s="242"/>
      <c r="M166" s="103"/>
      <c r="N166" s="31"/>
      <c r="O166" s="31"/>
      <c r="P166" s="111"/>
      <c r="Q166" s="142"/>
      <c r="R166" s="43"/>
      <c r="S166" s="43"/>
      <c r="T166" s="111"/>
      <c r="U166" s="142"/>
      <c r="V166" s="43"/>
      <c r="W166" s="43"/>
      <c r="X166" s="111"/>
      <c r="Y166" s="142"/>
      <c r="Z166" s="43"/>
      <c r="AA166" s="43"/>
      <c r="AB166" s="111"/>
      <c r="AC166" s="142"/>
      <c r="AD166" s="43"/>
      <c r="AE166" s="43"/>
      <c r="AF166" s="111"/>
      <c r="AG166" s="111"/>
      <c r="AH166" s="111"/>
      <c r="AI166" s="111"/>
      <c r="AJ166" s="111"/>
      <c r="AK166" s="111"/>
      <c r="AL166" s="111"/>
      <c r="AM166" s="111"/>
      <c r="AN166" s="111"/>
      <c r="AO166" s="111"/>
      <c r="AP166" s="111"/>
      <c r="AQ166" s="111"/>
      <c r="AR166" s="111"/>
      <c r="AS166" s="111"/>
      <c r="AT166" s="111"/>
      <c r="AU166" s="111"/>
      <c r="AV166" s="111"/>
      <c r="AW166" s="111"/>
      <c r="AX166" s="111"/>
      <c r="AY166" s="111"/>
      <c r="AZ166" s="111"/>
      <c r="BA166" s="111"/>
      <c r="BB166" s="111"/>
      <c r="BC166" s="111"/>
      <c r="BD166" s="111"/>
      <c r="BE166" s="111"/>
      <c r="BF166" s="111"/>
      <c r="BG166" s="111"/>
      <c r="BH166" s="111"/>
      <c r="BI166" s="111"/>
      <c r="BJ166" s="111"/>
      <c r="BK166" s="111"/>
      <c r="BL166" s="111"/>
      <c r="BM166" s="111"/>
      <c r="BN166" s="111"/>
      <c r="BO166" s="111"/>
      <c r="BP166" s="111"/>
      <c r="BQ166" s="111"/>
      <c r="BR166" s="111"/>
      <c r="BS166" s="111"/>
      <c r="BT166" s="111"/>
      <c r="BU166" s="111"/>
      <c r="BV166" s="111"/>
      <c r="BW166" s="111"/>
      <c r="BX166" s="111"/>
      <c r="BY166" s="111"/>
      <c r="BZ166" s="111"/>
      <c r="CA166" s="111"/>
      <c r="CB166" s="111"/>
      <c r="CC166" s="111"/>
      <c r="CD166" s="111"/>
      <c r="CE166" s="111"/>
      <c r="CF166" s="111"/>
      <c r="CG166" s="111"/>
      <c r="CH166" s="111"/>
      <c r="CI166" s="111"/>
      <c r="CJ166" s="111"/>
      <c r="CK166" s="111"/>
      <c r="CL166" s="111"/>
      <c r="CM166" s="111"/>
      <c r="CN166" s="111"/>
      <c r="CO166" s="111"/>
      <c r="CP166" s="111"/>
      <c r="CQ166" s="111"/>
      <c r="CR166" s="111"/>
      <c r="CS166" s="111"/>
      <c r="CT166" s="111"/>
      <c r="CU166" s="111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  <c r="DI166" s="49"/>
      <c r="DJ166" s="49"/>
      <c r="DK166" s="49"/>
      <c r="DL166" s="49"/>
      <c r="DM166" s="49"/>
      <c r="DN166" s="49"/>
      <c r="DO166" s="49"/>
      <c r="DP166" s="49"/>
      <c r="DQ166" s="49"/>
      <c r="DR166" s="49"/>
      <c r="DS166" s="49"/>
      <c r="DT166" s="49"/>
      <c r="DU166" s="49"/>
      <c r="DV166" s="49"/>
      <c r="DW166" s="49"/>
      <c r="DX166" s="49"/>
      <c r="DY166" s="49"/>
      <c r="DZ166" s="49"/>
      <c r="EA166" s="49"/>
      <c r="EB166" s="49"/>
      <c r="EC166" s="49"/>
      <c r="ED166" s="49"/>
      <c r="EE166" s="49"/>
      <c r="EF166" s="49"/>
      <c r="EG166" s="49"/>
      <c r="EH166" s="49"/>
      <c r="EI166" s="49"/>
      <c r="EJ166" s="49"/>
      <c r="EK166" s="49"/>
      <c r="EL166" s="49"/>
      <c r="EM166" s="49"/>
      <c r="EN166" s="49"/>
      <c r="EO166" s="49"/>
      <c r="EP166" s="49"/>
      <c r="EQ166" s="49"/>
      <c r="ER166" s="49"/>
      <c r="ES166" s="49"/>
      <c r="ET166" s="49"/>
      <c r="EU166" s="49"/>
      <c r="EV166" s="49"/>
      <c r="EW166" s="49"/>
      <c r="EX166" s="49"/>
      <c r="EY166" s="49"/>
      <c r="EZ166" s="49"/>
      <c r="FA166" s="49"/>
      <c r="FB166" s="49"/>
      <c r="FC166" s="49"/>
      <c r="FD166" s="49"/>
      <c r="FE166" s="49"/>
      <c r="FF166" s="49"/>
      <c r="FG166" s="49"/>
      <c r="FH166" s="49"/>
      <c r="FI166" s="49"/>
      <c r="FJ166" s="49"/>
      <c r="FK166" s="49"/>
      <c r="FL166" s="49"/>
      <c r="FM166" s="49"/>
      <c r="FN166" s="49"/>
      <c r="FO166" s="49"/>
      <c r="FP166" s="49"/>
      <c r="FQ166" s="49"/>
      <c r="FR166" s="49"/>
      <c r="FS166" s="49"/>
      <c r="FT166" s="49"/>
      <c r="FU166" s="49"/>
      <c r="FV166" s="49"/>
      <c r="FW166" s="49"/>
      <c r="FX166" s="49"/>
      <c r="FY166" s="49"/>
      <c r="FZ166" s="49"/>
      <c r="GA166" s="49"/>
      <c r="GB166" s="49"/>
      <c r="GC166" s="49"/>
      <c r="GD166" s="49"/>
      <c r="GE166" s="49"/>
      <c r="GF166" s="49"/>
      <c r="GG166" s="49"/>
      <c r="GH166" s="49"/>
      <c r="GI166" s="49"/>
      <c r="GJ166" s="49"/>
      <c r="GK166" s="49"/>
      <c r="GL166" s="49"/>
      <c r="GM166" s="49"/>
      <c r="GN166" s="49"/>
      <c r="GO166" s="49"/>
      <c r="GP166" s="49"/>
      <c r="GQ166" s="49"/>
      <c r="GR166" s="49"/>
      <c r="GS166" s="49"/>
      <c r="GT166" s="49"/>
      <c r="GU166" s="49"/>
      <c r="GV166" s="49"/>
      <c r="GW166" s="49"/>
      <c r="GX166" s="49"/>
      <c r="GY166" s="49"/>
      <c r="GZ166" s="49"/>
      <c r="HA166" s="49"/>
      <c r="HB166" s="49"/>
      <c r="HC166" s="49"/>
      <c r="HD166" s="49"/>
      <c r="HE166" s="49"/>
      <c r="HF166" s="49"/>
      <c r="HG166" s="49"/>
      <c r="HH166" s="49"/>
      <c r="HI166" s="49"/>
      <c r="HJ166" s="49"/>
      <c r="HK166" s="49"/>
      <c r="HL166" s="49"/>
      <c r="HM166" s="49"/>
      <c r="HN166" s="49"/>
      <c r="HO166" s="49"/>
      <c r="HP166" s="49"/>
      <c r="HQ166" s="49"/>
      <c r="HR166" s="49"/>
      <c r="HS166" s="49"/>
    </row>
    <row r="167" spans="1:227" s="15" customFormat="1" ht="12">
      <c r="A167" s="74" t="s">
        <v>276</v>
      </c>
      <c r="D167" s="15" t="s">
        <v>11</v>
      </c>
      <c r="G167" s="230"/>
      <c r="H167" s="127"/>
      <c r="I167" s="476"/>
      <c r="J167" s="477"/>
      <c r="K167" s="476"/>
      <c r="L167" s="242"/>
      <c r="M167" s="103"/>
      <c r="N167" s="31"/>
      <c r="O167" s="31"/>
      <c r="P167" s="111"/>
      <c r="Q167" s="142"/>
      <c r="R167" s="43"/>
      <c r="S167" s="43"/>
      <c r="T167" s="111"/>
      <c r="U167" s="142"/>
      <c r="V167" s="43"/>
      <c r="W167" s="43"/>
      <c r="X167" s="111"/>
      <c r="Y167" s="142"/>
      <c r="Z167" s="43"/>
      <c r="AA167" s="43"/>
      <c r="AB167" s="111"/>
      <c r="AC167" s="142"/>
      <c r="AD167" s="43"/>
      <c r="AE167" s="43"/>
      <c r="AF167" s="111"/>
      <c r="AG167" s="111"/>
      <c r="AH167" s="111"/>
      <c r="AI167" s="111"/>
      <c r="AJ167" s="111"/>
      <c r="AK167" s="111"/>
      <c r="AL167" s="111"/>
      <c r="AM167" s="111"/>
      <c r="AN167" s="111"/>
      <c r="AO167" s="111"/>
      <c r="AP167" s="111"/>
      <c r="AQ167" s="111"/>
      <c r="AR167" s="111"/>
      <c r="AS167" s="111"/>
      <c r="AT167" s="111"/>
      <c r="AU167" s="111"/>
      <c r="AV167" s="111"/>
      <c r="AW167" s="111"/>
      <c r="AX167" s="111"/>
      <c r="AY167" s="111"/>
      <c r="AZ167" s="111"/>
      <c r="BA167" s="111"/>
      <c r="BB167" s="111"/>
      <c r="BC167" s="111"/>
      <c r="BD167" s="111"/>
      <c r="BE167" s="111"/>
      <c r="BF167" s="111"/>
      <c r="BG167" s="111"/>
      <c r="BH167" s="111"/>
      <c r="BI167" s="111"/>
      <c r="BJ167" s="111"/>
      <c r="BK167" s="111"/>
      <c r="BL167" s="111"/>
      <c r="BM167" s="111"/>
      <c r="BN167" s="111"/>
      <c r="BO167" s="111"/>
      <c r="BP167" s="111"/>
      <c r="BQ167" s="111"/>
      <c r="BR167" s="111"/>
      <c r="BS167" s="111"/>
      <c r="BT167" s="111"/>
      <c r="BU167" s="111"/>
      <c r="BV167" s="111"/>
      <c r="BW167" s="111"/>
      <c r="BX167" s="111"/>
      <c r="BY167" s="111"/>
      <c r="BZ167" s="111"/>
      <c r="CA167" s="111"/>
      <c r="CB167" s="111"/>
      <c r="CC167" s="111"/>
      <c r="CD167" s="111"/>
      <c r="CE167" s="111"/>
      <c r="CF167" s="111"/>
      <c r="CG167" s="111"/>
      <c r="CH167" s="111"/>
      <c r="CI167" s="111"/>
      <c r="CJ167" s="111"/>
      <c r="CK167" s="111"/>
      <c r="CL167" s="111"/>
      <c r="CM167" s="111"/>
      <c r="CN167" s="111"/>
      <c r="CO167" s="111"/>
      <c r="CP167" s="111"/>
      <c r="CQ167" s="111"/>
      <c r="CR167" s="111"/>
      <c r="CS167" s="111"/>
      <c r="CT167" s="111"/>
      <c r="CU167" s="111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  <c r="DI167" s="49"/>
      <c r="DJ167" s="49"/>
      <c r="DK167" s="49"/>
      <c r="DL167" s="49"/>
      <c r="DM167" s="49"/>
      <c r="DN167" s="49"/>
      <c r="DO167" s="49"/>
      <c r="DP167" s="49"/>
      <c r="DQ167" s="49"/>
      <c r="DR167" s="49"/>
      <c r="DS167" s="49"/>
      <c r="DT167" s="49"/>
      <c r="DU167" s="49"/>
      <c r="DV167" s="49"/>
      <c r="DW167" s="49"/>
      <c r="DX167" s="49"/>
      <c r="DY167" s="49"/>
      <c r="DZ167" s="49"/>
      <c r="EA167" s="49"/>
      <c r="EB167" s="49"/>
      <c r="EC167" s="49"/>
      <c r="ED167" s="49"/>
      <c r="EE167" s="49"/>
      <c r="EF167" s="49"/>
      <c r="EG167" s="49"/>
      <c r="EH167" s="49"/>
      <c r="EI167" s="49"/>
      <c r="EJ167" s="49"/>
      <c r="EK167" s="49"/>
      <c r="EL167" s="49"/>
      <c r="EM167" s="49"/>
      <c r="EN167" s="49"/>
      <c r="EO167" s="49"/>
      <c r="EP167" s="49"/>
      <c r="EQ167" s="49"/>
      <c r="ER167" s="49"/>
      <c r="ES167" s="49"/>
      <c r="ET167" s="49"/>
      <c r="EU167" s="49"/>
      <c r="EV167" s="49"/>
      <c r="EW167" s="49"/>
      <c r="EX167" s="49"/>
      <c r="EY167" s="49"/>
      <c r="EZ167" s="49"/>
      <c r="FA167" s="49"/>
      <c r="FB167" s="49"/>
      <c r="FC167" s="49"/>
      <c r="FD167" s="49"/>
      <c r="FE167" s="49"/>
      <c r="FF167" s="49"/>
      <c r="FG167" s="49"/>
      <c r="FH167" s="49"/>
      <c r="FI167" s="49"/>
      <c r="FJ167" s="49"/>
      <c r="FK167" s="49"/>
      <c r="FL167" s="49"/>
      <c r="FM167" s="49"/>
      <c r="FN167" s="49"/>
      <c r="FO167" s="49"/>
      <c r="FP167" s="49"/>
      <c r="FQ167" s="49"/>
      <c r="FR167" s="49"/>
      <c r="FS167" s="49"/>
      <c r="FT167" s="49"/>
      <c r="FU167" s="49"/>
      <c r="FV167" s="49"/>
      <c r="FW167" s="49"/>
      <c r="FX167" s="49"/>
      <c r="FY167" s="49"/>
      <c r="FZ167" s="49"/>
      <c r="GA167" s="49"/>
      <c r="GB167" s="49"/>
      <c r="GC167" s="49"/>
      <c r="GD167" s="49"/>
      <c r="GE167" s="49"/>
      <c r="GF167" s="49"/>
      <c r="GG167" s="49"/>
      <c r="GH167" s="49"/>
      <c r="GI167" s="49"/>
      <c r="GJ167" s="49"/>
      <c r="GK167" s="49"/>
      <c r="GL167" s="49"/>
      <c r="GM167" s="49"/>
      <c r="GN167" s="49"/>
      <c r="GO167" s="49"/>
      <c r="GP167" s="49"/>
      <c r="GQ167" s="49"/>
      <c r="GR167" s="49"/>
      <c r="GS167" s="49"/>
      <c r="GT167" s="49"/>
      <c r="GU167" s="49"/>
      <c r="GV167" s="49"/>
      <c r="GW167" s="49"/>
      <c r="GX167" s="49"/>
      <c r="GY167" s="49"/>
      <c r="GZ167" s="49"/>
      <c r="HA167" s="49"/>
      <c r="HB167" s="49"/>
      <c r="HC167" s="49"/>
      <c r="HD167" s="49"/>
      <c r="HE167" s="49"/>
      <c r="HF167" s="49"/>
      <c r="HG167" s="49"/>
      <c r="HH167" s="49"/>
      <c r="HI167" s="49"/>
      <c r="HJ167" s="49"/>
      <c r="HK167" s="49"/>
      <c r="HL167" s="49"/>
      <c r="HM167" s="49"/>
      <c r="HN167" s="49"/>
      <c r="HO167" s="49"/>
      <c r="HP167" s="49"/>
      <c r="HQ167" s="49"/>
      <c r="HR167" s="49"/>
      <c r="HS167" s="49"/>
    </row>
    <row r="168" spans="1:227" ht="12" customHeight="1">
      <c r="A168" s="74" t="s">
        <v>277</v>
      </c>
      <c r="B168" s="15"/>
      <c r="C168" s="15"/>
      <c r="D168" s="15" t="s">
        <v>12</v>
      </c>
      <c r="E168" s="15"/>
      <c r="F168" s="15"/>
      <c r="H168" s="127"/>
      <c r="I168" s="475"/>
      <c r="J168" s="477"/>
      <c r="K168" s="474"/>
      <c r="L168" s="474"/>
      <c r="AO168" s="111"/>
      <c r="AP168" s="111"/>
      <c r="AQ168" s="111"/>
      <c r="AR168" s="111"/>
      <c r="AS168" s="111"/>
      <c r="AT168" s="111"/>
      <c r="AU168" s="111"/>
      <c r="AV168" s="111"/>
      <c r="AW168" s="111"/>
      <c r="AX168" s="111"/>
      <c r="AY168" s="111"/>
      <c r="AZ168" s="111"/>
      <c r="BA168" s="111"/>
      <c r="BB168" s="111"/>
      <c r="BC168" s="111"/>
      <c r="BD168" s="111"/>
      <c r="BE168" s="111"/>
      <c r="BF168" s="111"/>
      <c r="BG168" s="111"/>
      <c r="BH168" s="111"/>
      <c r="BI168" s="111"/>
      <c r="BJ168" s="111"/>
      <c r="BK168" s="111"/>
      <c r="BL168" s="111"/>
      <c r="BM168" s="111"/>
      <c r="BN168" s="111"/>
      <c r="BO168" s="111"/>
      <c r="BP168" s="111"/>
      <c r="BQ168" s="111"/>
      <c r="BR168" s="111"/>
      <c r="BS168" s="111"/>
      <c r="BT168" s="111"/>
      <c r="BU168" s="111"/>
      <c r="BV168" s="111"/>
      <c r="BW168" s="111"/>
      <c r="BX168" s="111"/>
      <c r="BY168" s="111"/>
      <c r="BZ168" s="111"/>
      <c r="CA168" s="111"/>
      <c r="CB168" s="111"/>
      <c r="CC168" s="111"/>
      <c r="CD168" s="111"/>
      <c r="CE168" s="111"/>
      <c r="CF168" s="111"/>
      <c r="CG168" s="111"/>
      <c r="CH168" s="111"/>
      <c r="CI168" s="111"/>
      <c r="CJ168" s="111"/>
      <c r="CK168" s="111"/>
      <c r="CL168" s="111"/>
      <c r="CM168" s="111"/>
      <c r="CN168" s="111"/>
      <c r="CO168" s="111"/>
      <c r="CP168" s="111"/>
      <c r="CQ168" s="111"/>
      <c r="CR168" s="111"/>
      <c r="CS168" s="111"/>
      <c r="CT168" s="111"/>
      <c r="CU168" s="111"/>
      <c r="CV168" s="111"/>
      <c r="CW168" s="111"/>
      <c r="CX168" s="111"/>
      <c r="CY168" s="111"/>
      <c r="CZ168" s="111"/>
      <c r="DA168" s="111"/>
      <c r="DB168" s="111"/>
      <c r="DC168" s="111"/>
      <c r="DD168" s="111"/>
      <c r="DE168" s="111"/>
      <c r="DF168" s="111"/>
      <c r="DG168" s="111"/>
      <c r="DH168" s="111"/>
      <c r="DI168" s="111"/>
      <c r="DJ168" s="111"/>
      <c r="DK168" s="111"/>
      <c r="DL168" s="111"/>
      <c r="DM168" s="111"/>
      <c r="DN168" s="111"/>
      <c r="DO168" s="111"/>
      <c r="DP168" s="111"/>
      <c r="DQ168" s="111"/>
      <c r="DR168" s="111"/>
      <c r="DS168" s="111"/>
      <c r="DT168" s="111"/>
      <c r="DU168" s="111"/>
      <c r="DV168" s="111"/>
      <c r="DW168" s="111"/>
      <c r="DX168" s="111"/>
      <c r="DY168" s="111"/>
      <c r="DZ168" s="111"/>
      <c r="EA168" s="111"/>
      <c r="EB168" s="111"/>
      <c r="EC168" s="111"/>
      <c r="ED168" s="111"/>
      <c r="EE168" s="111"/>
      <c r="EF168" s="111"/>
      <c r="EG168" s="111"/>
      <c r="EH168" s="111"/>
      <c r="EI168" s="111"/>
      <c r="EJ168" s="111"/>
      <c r="EK168" s="111"/>
      <c r="EL168" s="111"/>
      <c r="EM168" s="111"/>
      <c r="EN168" s="111"/>
      <c r="EO168" s="111"/>
      <c r="EP168" s="111"/>
      <c r="EQ168" s="111"/>
      <c r="ER168" s="111"/>
      <c r="ES168" s="111"/>
      <c r="ET168" s="111"/>
      <c r="EU168" s="111"/>
      <c r="EV168" s="111"/>
      <c r="EW168" s="111"/>
      <c r="EX168" s="111"/>
      <c r="EY168" s="111"/>
      <c r="EZ168" s="111"/>
      <c r="FA168" s="111"/>
      <c r="FB168" s="111"/>
      <c r="FC168" s="111"/>
      <c r="FD168" s="111"/>
      <c r="FE168" s="111"/>
      <c r="FF168" s="111"/>
      <c r="FG168" s="111"/>
      <c r="FH168" s="111"/>
      <c r="FI168" s="111"/>
      <c r="FJ168" s="111"/>
      <c r="FK168" s="111"/>
      <c r="FL168" s="111"/>
      <c r="FM168" s="111"/>
      <c r="FN168" s="111"/>
      <c r="FO168" s="111"/>
      <c r="FP168" s="111"/>
      <c r="FQ168" s="111"/>
      <c r="FR168" s="111"/>
      <c r="FS168" s="111"/>
      <c r="FT168" s="111"/>
      <c r="FU168" s="111"/>
      <c r="FV168" s="111"/>
      <c r="FW168" s="111"/>
      <c r="FX168" s="111"/>
      <c r="FY168" s="111"/>
      <c r="FZ168" s="111"/>
      <c r="GA168" s="111"/>
      <c r="GB168" s="111"/>
      <c r="GC168" s="111"/>
      <c r="GD168" s="111"/>
      <c r="GE168" s="111"/>
      <c r="GF168" s="111"/>
      <c r="GG168" s="111"/>
      <c r="GH168" s="111"/>
      <c r="GI168" s="111"/>
      <c r="GJ168" s="111"/>
      <c r="GK168" s="111"/>
      <c r="GL168" s="111"/>
      <c r="GM168" s="111"/>
      <c r="GN168" s="111"/>
      <c r="GO168" s="111"/>
      <c r="GP168" s="111"/>
      <c r="GQ168" s="111"/>
      <c r="GR168" s="111"/>
      <c r="GS168" s="111"/>
      <c r="GT168" s="111"/>
      <c r="GU168" s="111"/>
      <c r="GV168" s="111"/>
      <c r="GW168" s="111"/>
      <c r="GX168" s="111"/>
      <c r="GY168" s="111"/>
      <c r="GZ168" s="111"/>
      <c r="HA168" s="111"/>
      <c r="HB168" s="111"/>
      <c r="HC168" s="111"/>
      <c r="HD168" s="111"/>
      <c r="HE168" s="111"/>
      <c r="HF168" s="111"/>
      <c r="HG168" s="111"/>
      <c r="HH168" s="111"/>
      <c r="HI168" s="111"/>
      <c r="HJ168" s="111"/>
      <c r="HK168" s="111"/>
      <c r="HL168" s="111"/>
      <c r="HM168" s="111"/>
      <c r="HN168" s="111"/>
      <c r="HO168" s="111"/>
      <c r="HP168" s="111"/>
      <c r="HQ168" s="111"/>
      <c r="HR168" s="111"/>
      <c r="HS168" s="111"/>
    </row>
    <row r="169" spans="1:227" ht="12" customHeight="1">
      <c r="A169" s="74" t="s">
        <v>278</v>
      </c>
      <c r="B169" s="15"/>
      <c r="C169" s="15"/>
      <c r="D169" s="15" t="s">
        <v>13</v>
      </c>
      <c r="E169" s="15"/>
      <c r="F169" s="15"/>
      <c r="H169" s="127"/>
      <c r="I169" s="475"/>
      <c r="J169" s="474"/>
      <c r="K169" s="474"/>
      <c r="L169" s="474"/>
      <c r="AO169" s="111"/>
      <c r="AP169" s="111"/>
      <c r="AQ169" s="111"/>
      <c r="AR169" s="111"/>
      <c r="AS169" s="111"/>
      <c r="AT169" s="111"/>
      <c r="AU169" s="111"/>
      <c r="AV169" s="111"/>
      <c r="AW169" s="111"/>
      <c r="AX169" s="111"/>
      <c r="AY169" s="111"/>
      <c r="AZ169" s="111"/>
      <c r="BA169" s="111"/>
      <c r="BB169" s="111"/>
      <c r="BC169" s="111"/>
      <c r="BD169" s="111"/>
      <c r="BE169" s="111"/>
      <c r="BF169" s="111"/>
      <c r="BG169" s="111"/>
      <c r="BH169" s="111"/>
      <c r="BI169" s="111"/>
      <c r="BJ169" s="111"/>
      <c r="BK169" s="111"/>
      <c r="BL169" s="111"/>
      <c r="BM169" s="111"/>
      <c r="BN169" s="111"/>
      <c r="BO169" s="111"/>
      <c r="BP169" s="111"/>
      <c r="BQ169" s="111"/>
      <c r="BR169" s="111"/>
      <c r="BS169" s="111"/>
      <c r="BT169" s="111"/>
      <c r="BU169" s="111"/>
      <c r="BV169" s="111"/>
      <c r="BW169" s="111"/>
      <c r="BX169" s="111"/>
      <c r="BY169" s="111"/>
      <c r="BZ169" s="111"/>
      <c r="CA169" s="111"/>
      <c r="CB169" s="111"/>
      <c r="CC169" s="111"/>
      <c r="CD169" s="111"/>
      <c r="CE169" s="111"/>
      <c r="CF169" s="111"/>
      <c r="CG169" s="111"/>
      <c r="CH169" s="111"/>
      <c r="CI169" s="111"/>
      <c r="CJ169" s="111"/>
      <c r="CK169" s="111"/>
      <c r="CL169" s="111"/>
      <c r="CM169" s="111"/>
      <c r="CN169" s="111"/>
      <c r="CO169" s="111"/>
      <c r="CP169" s="111"/>
      <c r="CQ169" s="111"/>
      <c r="CR169" s="111"/>
      <c r="CS169" s="111"/>
      <c r="CT169" s="111"/>
      <c r="CU169" s="111"/>
      <c r="CV169" s="111"/>
      <c r="CW169" s="111"/>
      <c r="CX169" s="111"/>
      <c r="CY169" s="111"/>
      <c r="CZ169" s="111"/>
      <c r="DA169" s="111"/>
      <c r="DB169" s="111"/>
      <c r="DC169" s="111"/>
      <c r="DD169" s="111"/>
      <c r="DE169" s="111"/>
      <c r="DF169" s="111"/>
      <c r="DG169" s="111"/>
      <c r="DH169" s="111"/>
      <c r="DI169" s="111"/>
      <c r="DJ169" s="111"/>
      <c r="DK169" s="111"/>
      <c r="DL169" s="111"/>
      <c r="DM169" s="111"/>
      <c r="DN169" s="111"/>
      <c r="DO169" s="111"/>
      <c r="DP169" s="111"/>
      <c r="DQ169" s="111"/>
      <c r="DR169" s="111"/>
      <c r="DS169" s="111"/>
      <c r="DT169" s="111"/>
      <c r="DU169" s="111"/>
      <c r="DV169" s="111"/>
      <c r="DW169" s="111"/>
      <c r="DX169" s="111"/>
      <c r="DY169" s="111"/>
      <c r="DZ169" s="111"/>
      <c r="EA169" s="111"/>
      <c r="EB169" s="111"/>
      <c r="EC169" s="111"/>
      <c r="ED169" s="111"/>
      <c r="EE169" s="111"/>
      <c r="EF169" s="111"/>
      <c r="EG169" s="111"/>
      <c r="EH169" s="111"/>
      <c r="EI169" s="111"/>
      <c r="EJ169" s="111"/>
      <c r="EK169" s="111"/>
      <c r="EL169" s="111"/>
      <c r="EM169" s="111"/>
      <c r="EN169" s="111"/>
      <c r="EO169" s="111"/>
      <c r="EP169" s="111"/>
      <c r="EQ169" s="111"/>
      <c r="ER169" s="111"/>
      <c r="ES169" s="111"/>
      <c r="ET169" s="111"/>
      <c r="EU169" s="111"/>
      <c r="EV169" s="111"/>
      <c r="EW169" s="111"/>
      <c r="EX169" s="111"/>
      <c r="EY169" s="111"/>
      <c r="EZ169" s="111"/>
      <c r="FA169" s="111"/>
      <c r="FB169" s="111"/>
      <c r="FC169" s="111"/>
      <c r="FD169" s="111"/>
      <c r="FE169" s="111"/>
      <c r="FF169" s="111"/>
      <c r="FG169" s="111"/>
      <c r="FH169" s="111"/>
      <c r="FI169" s="111"/>
      <c r="FJ169" s="111"/>
      <c r="FK169" s="111"/>
      <c r="FL169" s="111"/>
      <c r="FM169" s="111"/>
      <c r="FN169" s="111"/>
      <c r="FO169" s="111"/>
      <c r="FP169" s="111"/>
      <c r="FQ169" s="111"/>
      <c r="FR169" s="111"/>
      <c r="FS169" s="111"/>
      <c r="FT169" s="111"/>
      <c r="FU169" s="111"/>
      <c r="FV169" s="111"/>
      <c r="FW169" s="111"/>
      <c r="FX169" s="111"/>
      <c r="FY169" s="111"/>
      <c r="FZ169" s="111"/>
      <c r="GA169" s="111"/>
      <c r="GB169" s="111"/>
      <c r="GC169" s="111"/>
      <c r="GD169" s="111"/>
      <c r="GE169" s="111"/>
      <c r="GF169" s="111"/>
      <c r="GG169" s="111"/>
      <c r="GH169" s="111"/>
      <c r="GI169" s="111"/>
      <c r="GJ169" s="111"/>
      <c r="GK169" s="111"/>
      <c r="GL169" s="111"/>
      <c r="GM169" s="111"/>
      <c r="GN169" s="111"/>
      <c r="GO169" s="111"/>
      <c r="GP169" s="111"/>
      <c r="GQ169" s="111"/>
      <c r="GR169" s="111"/>
      <c r="GS169" s="111"/>
      <c r="GT169" s="111"/>
      <c r="GU169" s="111"/>
      <c r="GV169" s="111"/>
      <c r="GW169" s="111"/>
      <c r="GX169" s="111"/>
      <c r="GY169" s="111"/>
      <c r="GZ169" s="111"/>
      <c r="HA169" s="111"/>
      <c r="HB169" s="111"/>
      <c r="HC169" s="111"/>
      <c r="HD169" s="111"/>
      <c r="HE169" s="111"/>
      <c r="HF169" s="111"/>
      <c r="HG169" s="111"/>
      <c r="HH169" s="111"/>
      <c r="HI169" s="111"/>
      <c r="HJ169" s="111"/>
      <c r="HK169" s="111"/>
      <c r="HL169" s="111"/>
      <c r="HM169" s="111"/>
      <c r="HN169" s="111"/>
      <c r="HO169" s="111"/>
      <c r="HP169" s="111"/>
      <c r="HQ169" s="111"/>
      <c r="HR169" s="111"/>
      <c r="HS169" s="111"/>
    </row>
    <row r="170" spans="1:227" ht="12">
      <c r="A170" s="74" t="s">
        <v>279</v>
      </c>
      <c r="B170" s="15"/>
      <c r="C170" s="15"/>
      <c r="D170" s="15" t="s">
        <v>14</v>
      </c>
      <c r="E170" s="15"/>
      <c r="F170" s="15"/>
      <c r="H170" s="127"/>
      <c r="I170" s="475"/>
      <c r="J170" s="476"/>
      <c r="K170" s="474"/>
      <c r="L170" s="474"/>
      <c r="AO170" s="111"/>
      <c r="AP170" s="111"/>
      <c r="AQ170" s="111"/>
      <c r="AR170" s="111"/>
      <c r="AS170" s="111"/>
      <c r="AT170" s="111"/>
      <c r="AU170" s="111"/>
      <c r="AV170" s="111"/>
      <c r="AW170" s="111"/>
      <c r="AX170" s="111"/>
      <c r="AY170" s="111"/>
      <c r="AZ170" s="111"/>
      <c r="BA170" s="111"/>
      <c r="BB170" s="111"/>
      <c r="BC170" s="111"/>
      <c r="BD170" s="111"/>
      <c r="BE170" s="111"/>
      <c r="BF170" s="111"/>
      <c r="BG170" s="111"/>
      <c r="BH170" s="111"/>
      <c r="BI170" s="111"/>
      <c r="BJ170" s="111"/>
      <c r="BK170" s="111"/>
      <c r="BL170" s="111"/>
      <c r="BM170" s="111"/>
      <c r="BN170" s="111"/>
      <c r="BO170" s="111"/>
      <c r="BP170" s="111"/>
      <c r="BQ170" s="111"/>
      <c r="BR170" s="111"/>
      <c r="BS170" s="111"/>
      <c r="BT170" s="111"/>
      <c r="BU170" s="111"/>
      <c r="BV170" s="111"/>
      <c r="BW170" s="111"/>
      <c r="BX170" s="111"/>
      <c r="BY170" s="111"/>
      <c r="BZ170" s="111"/>
      <c r="CA170" s="111"/>
      <c r="CB170" s="111"/>
      <c r="CC170" s="111"/>
      <c r="CD170" s="111"/>
      <c r="CE170" s="111"/>
      <c r="CF170" s="111"/>
      <c r="CG170" s="111"/>
      <c r="CH170" s="111"/>
      <c r="CI170" s="111"/>
      <c r="CJ170" s="111"/>
      <c r="CK170" s="111"/>
      <c r="CL170" s="111"/>
      <c r="CM170" s="111"/>
      <c r="CN170" s="111"/>
      <c r="CO170" s="111"/>
      <c r="CP170" s="111"/>
      <c r="CQ170" s="111"/>
      <c r="CR170" s="111"/>
      <c r="CS170" s="111"/>
      <c r="CT170" s="111"/>
      <c r="CU170" s="111"/>
      <c r="CV170" s="111"/>
      <c r="CW170" s="111"/>
      <c r="CX170" s="111"/>
      <c r="CY170" s="111"/>
      <c r="CZ170" s="111"/>
      <c r="DA170" s="111"/>
      <c r="DB170" s="111"/>
      <c r="DC170" s="111"/>
      <c r="DD170" s="111"/>
      <c r="DE170" s="111"/>
      <c r="DF170" s="111"/>
      <c r="DG170" s="111"/>
      <c r="DH170" s="111"/>
      <c r="DI170" s="111"/>
      <c r="DJ170" s="111"/>
      <c r="DK170" s="111"/>
      <c r="DL170" s="111"/>
      <c r="DM170" s="111"/>
      <c r="DN170" s="111"/>
      <c r="DO170" s="111"/>
      <c r="DP170" s="111"/>
      <c r="DQ170" s="111"/>
      <c r="DR170" s="111"/>
      <c r="DS170" s="111"/>
      <c r="DT170" s="111"/>
      <c r="DU170" s="111"/>
      <c r="DV170" s="111"/>
      <c r="DW170" s="111"/>
      <c r="DX170" s="111"/>
      <c r="DY170" s="111"/>
      <c r="DZ170" s="111"/>
      <c r="EA170" s="111"/>
      <c r="EB170" s="111"/>
      <c r="EC170" s="111"/>
      <c r="ED170" s="111"/>
      <c r="EE170" s="111"/>
      <c r="EF170" s="111"/>
      <c r="EG170" s="111"/>
      <c r="EH170" s="111"/>
      <c r="EI170" s="111"/>
      <c r="EJ170" s="111"/>
      <c r="EK170" s="111"/>
      <c r="EL170" s="111"/>
      <c r="EM170" s="111"/>
      <c r="EN170" s="111"/>
      <c r="EO170" s="111"/>
      <c r="EP170" s="111"/>
      <c r="EQ170" s="111"/>
      <c r="ER170" s="111"/>
      <c r="ES170" s="111"/>
      <c r="ET170" s="111"/>
      <c r="EU170" s="111"/>
      <c r="EV170" s="111"/>
      <c r="EW170" s="111"/>
      <c r="EX170" s="111"/>
      <c r="EY170" s="111"/>
      <c r="EZ170" s="111"/>
      <c r="FA170" s="111"/>
      <c r="FB170" s="111"/>
      <c r="FC170" s="111"/>
      <c r="FD170" s="111"/>
      <c r="FE170" s="111"/>
      <c r="FF170" s="111"/>
      <c r="FG170" s="111"/>
      <c r="FH170" s="111"/>
      <c r="FI170" s="111"/>
      <c r="FJ170" s="111"/>
      <c r="FK170" s="111"/>
      <c r="FL170" s="111"/>
      <c r="FM170" s="111"/>
      <c r="FN170" s="111"/>
      <c r="FO170" s="111"/>
      <c r="FP170" s="111"/>
      <c r="FQ170" s="111"/>
      <c r="FR170" s="111"/>
      <c r="FS170" s="111"/>
      <c r="FT170" s="111"/>
      <c r="FU170" s="111"/>
      <c r="FV170" s="111"/>
      <c r="FW170" s="111"/>
      <c r="FX170" s="111"/>
      <c r="FY170" s="111"/>
      <c r="FZ170" s="111"/>
      <c r="GA170" s="111"/>
      <c r="GB170" s="111"/>
      <c r="GC170" s="111"/>
      <c r="GD170" s="111"/>
      <c r="GE170" s="111"/>
      <c r="GF170" s="111"/>
      <c r="GG170" s="111"/>
      <c r="GH170" s="111"/>
      <c r="GI170" s="111"/>
      <c r="GJ170" s="111"/>
      <c r="GK170" s="111"/>
      <c r="GL170" s="111"/>
      <c r="GM170" s="111"/>
      <c r="GN170" s="111"/>
      <c r="GO170" s="111"/>
      <c r="GP170" s="111"/>
      <c r="GQ170" s="111"/>
      <c r="GR170" s="111"/>
      <c r="GS170" s="111"/>
      <c r="GT170" s="111"/>
      <c r="GU170" s="111"/>
      <c r="GV170" s="111"/>
      <c r="GW170" s="111"/>
      <c r="GX170" s="111"/>
      <c r="GY170" s="111"/>
      <c r="GZ170" s="111"/>
      <c r="HA170" s="111"/>
      <c r="HB170" s="111"/>
      <c r="HC170" s="111"/>
      <c r="HD170" s="111"/>
      <c r="HE170" s="111"/>
      <c r="HF170" s="111"/>
      <c r="HG170" s="111"/>
      <c r="HH170" s="111"/>
      <c r="HI170" s="111"/>
      <c r="HJ170" s="111"/>
      <c r="HK170" s="111"/>
      <c r="HL170" s="111"/>
      <c r="HM170" s="111"/>
      <c r="HN170" s="111"/>
      <c r="HO170" s="111"/>
      <c r="HP170" s="111"/>
      <c r="HQ170" s="111"/>
      <c r="HR170" s="111"/>
      <c r="HS170" s="111"/>
    </row>
    <row r="171" spans="1:227" ht="12" customHeight="1">
      <c r="A171" s="74"/>
      <c r="B171" s="15"/>
      <c r="C171" s="15" t="s">
        <v>16</v>
      </c>
      <c r="D171" s="15"/>
      <c r="E171" s="15"/>
      <c r="F171" s="15"/>
      <c r="H171" s="127"/>
      <c r="I171" s="475"/>
      <c r="J171" s="476"/>
      <c r="K171" s="474"/>
      <c r="L171" s="474"/>
      <c r="AO171" s="111"/>
      <c r="AP171" s="111"/>
      <c r="AQ171" s="111"/>
      <c r="AR171" s="111"/>
      <c r="AS171" s="111"/>
      <c r="AT171" s="111"/>
      <c r="AU171" s="111"/>
      <c r="AV171" s="111"/>
      <c r="AW171" s="111"/>
      <c r="AX171" s="111"/>
      <c r="AY171" s="111"/>
      <c r="AZ171" s="111"/>
      <c r="BA171" s="111"/>
      <c r="BB171" s="111"/>
      <c r="BC171" s="111"/>
      <c r="BD171" s="111"/>
      <c r="BE171" s="111"/>
      <c r="BF171" s="111"/>
      <c r="BG171" s="111"/>
      <c r="BH171" s="111"/>
      <c r="BI171" s="111"/>
      <c r="BJ171" s="111"/>
      <c r="BK171" s="111"/>
      <c r="BL171" s="111"/>
      <c r="BM171" s="111"/>
      <c r="BN171" s="111"/>
      <c r="BO171" s="111"/>
      <c r="BP171" s="111"/>
      <c r="BQ171" s="111"/>
      <c r="BR171" s="111"/>
      <c r="BS171" s="111"/>
      <c r="BT171" s="111"/>
      <c r="BU171" s="111"/>
      <c r="BV171" s="111"/>
      <c r="BW171" s="111"/>
      <c r="BX171" s="111"/>
      <c r="BY171" s="111"/>
      <c r="BZ171" s="111"/>
      <c r="CA171" s="111"/>
      <c r="CB171" s="111"/>
      <c r="CC171" s="111"/>
      <c r="CD171" s="111"/>
      <c r="CE171" s="111"/>
      <c r="CF171" s="111"/>
      <c r="CG171" s="111"/>
      <c r="CH171" s="111"/>
      <c r="CI171" s="111"/>
      <c r="CJ171" s="111"/>
      <c r="CK171" s="111"/>
      <c r="CL171" s="111"/>
      <c r="CM171" s="111"/>
      <c r="CN171" s="111"/>
      <c r="CO171" s="111"/>
      <c r="CP171" s="111"/>
      <c r="CQ171" s="111"/>
      <c r="CR171" s="111"/>
      <c r="CS171" s="111"/>
      <c r="CT171" s="111"/>
      <c r="CU171" s="111"/>
      <c r="CV171" s="111"/>
      <c r="CW171" s="111"/>
      <c r="CX171" s="111"/>
      <c r="CY171" s="111"/>
      <c r="CZ171" s="111"/>
      <c r="DA171" s="111"/>
      <c r="DB171" s="111"/>
      <c r="DC171" s="111"/>
      <c r="DD171" s="111"/>
      <c r="DE171" s="111"/>
      <c r="DF171" s="111"/>
      <c r="DG171" s="111"/>
      <c r="DH171" s="111"/>
      <c r="DI171" s="111"/>
      <c r="DJ171" s="111"/>
      <c r="DK171" s="111"/>
      <c r="DL171" s="111"/>
      <c r="DM171" s="111"/>
      <c r="DN171" s="111"/>
      <c r="DO171" s="111"/>
      <c r="DP171" s="111"/>
      <c r="DQ171" s="111"/>
      <c r="DR171" s="111"/>
      <c r="DS171" s="111"/>
      <c r="DT171" s="111"/>
      <c r="DU171" s="111"/>
      <c r="DV171" s="111"/>
      <c r="DW171" s="111"/>
      <c r="DX171" s="111"/>
      <c r="DY171" s="111"/>
      <c r="DZ171" s="111"/>
      <c r="EA171" s="111"/>
      <c r="EB171" s="111"/>
      <c r="EC171" s="111"/>
      <c r="ED171" s="111"/>
      <c r="EE171" s="111"/>
      <c r="EF171" s="111"/>
      <c r="EG171" s="111"/>
      <c r="EH171" s="111"/>
      <c r="EI171" s="111"/>
      <c r="EJ171" s="111"/>
      <c r="EK171" s="111"/>
      <c r="EL171" s="111"/>
      <c r="EM171" s="111"/>
      <c r="EN171" s="111"/>
      <c r="EO171" s="111"/>
      <c r="EP171" s="111"/>
      <c r="EQ171" s="111"/>
      <c r="ER171" s="111"/>
      <c r="ES171" s="111"/>
      <c r="ET171" s="111"/>
      <c r="EU171" s="111"/>
      <c r="EV171" s="111"/>
      <c r="EW171" s="111"/>
      <c r="EX171" s="111"/>
      <c r="EY171" s="111"/>
      <c r="EZ171" s="111"/>
      <c r="FA171" s="111"/>
      <c r="FB171" s="111"/>
      <c r="FC171" s="111"/>
      <c r="FD171" s="111"/>
      <c r="FE171" s="111"/>
      <c r="FF171" s="111"/>
      <c r="FG171" s="111"/>
      <c r="FH171" s="111"/>
      <c r="FI171" s="111"/>
      <c r="FJ171" s="111"/>
      <c r="FK171" s="111"/>
      <c r="FL171" s="111"/>
      <c r="FM171" s="111"/>
      <c r="FN171" s="111"/>
      <c r="FO171" s="111"/>
      <c r="FP171" s="111"/>
      <c r="FQ171" s="111"/>
      <c r="FR171" s="111"/>
      <c r="FS171" s="111"/>
      <c r="FT171" s="111"/>
      <c r="FU171" s="111"/>
      <c r="FV171" s="111"/>
      <c r="FW171" s="111"/>
      <c r="FX171" s="111"/>
      <c r="FY171" s="111"/>
      <c r="FZ171" s="111"/>
      <c r="GA171" s="111"/>
      <c r="GB171" s="111"/>
      <c r="GC171" s="111"/>
      <c r="GD171" s="111"/>
      <c r="GE171" s="111"/>
      <c r="GF171" s="111"/>
      <c r="GG171" s="111"/>
      <c r="GH171" s="111"/>
      <c r="GI171" s="111"/>
      <c r="GJ171" s="111"/>
      <c r="GK171" s="111"/>
      <c r="GL171" s="111"/>
      <c r="GM171" s="111"/>
      <c r="GN171" s="111"/>
      <c r="GO171" s="111"/>
      <c r="GP171" s="111"/>
      <c r="GQ171" s="111"/>
      <c r="GR171" s="111"/>
      <c r="GS171" s="111"/>
      <c r="GT171" s="111"/>
      <c r="GU171" s="111"/>
      <c r="GV171" s="111"/>
      <c r="GW171" s="111"/>
      <c r="GX171" s="111"/>
      <c r="GY171" s="111"/>
      <c r="GZ171" s="111"/>
      <c r="HA171" s="111"/>
      <c r="HB171" s="111"/>
      <c r="HC171" s="111"/>
      <c r="HD171" s="111"/>
      <c r="HE171" s="111"/>
      <c r="HF171" s="111"/>
      <c r="HG171" s="111"/>
      <c r="HH171" s="111"/>
      <c r="HI171" s="111"/>
      <c r="HJ171" s="111"/>
      <c r="HK171" s="111"/>
      <c r="HL171" s="111"/>
      <c r="HM171" s="111"/>
      <c r="HN171" s="111"/>
      <c r="HO171" s="111"/>
      <c r="HP171" s="111"/>
      <c r="HQ171" s="111"/>
      <c r="HR171" s="111"/>
      <c r="HS171" s="111"/>
    </row>
    <row r="172" spans="1:227" ht="26.25" customHeight="1">
      <c r="A172" s="74"/>
      <c r="B172" s="15"/>
      <c r="C172" s="15" t="s">
        <v>10</v>
      </c>
      <c r="D172" s="15"/>
      <c r="E172" s="15"/>
      <c r="F172" s="15"/>
      <c r="H172" s="136"/>
      <c r="I172" s="475"/>
      <c r="J172" s="476"/>
      <c r="K172" s="474"/>
      <c r="L172" s="474"/>
      <c r="AO172" s="111"/>
      <c r="AP172" s="111"/>
      <c r="AQ172" s="111"/>
      <c r="AR172" s="111"/>
      <c r="AS172" s="111"/>
      <c r="AT172" s="111"/>
      <c r="AU172" s="111"/>
      <c r="AV172" s="111"/>
      <c r="AW172" s="111"/>
      <c r="AX172" s="111"/>
      <c r="AY172" s="111"/>
      <c r="AZ172" s="111"/>
      <c r="BA172" s="111"/>
      <c r="BB172" s="111"/>
      <c r="BC172" s="111"/>
      <c r="BD172" s="111"/>
      <c r="BE172" s="111"/>
      <c r="BF172" s="111"/>
      <c r="BG172" s="111"/>
      <c r="BH172" s="111"/>
      <c r="BI172" s="111"/>
      <c r="BJ172" s="111"/>
      <c r="BK172" s="111"/>
      <c r="BL172" s="111"/>
      <c r="BM172" s="111"/>
      <c r="BN172" s="111"/>
      <c r="BO172" s="111"/>
      <c r="BP172" s="111"/>
      <c r="BQ172" s="111"/>
      <c r="BR172" s="111"/>
      <c r="BS172" s="111"/>
      <c r="BT172" s="111"/>
      <c r="BU172" s="111"/>
      <c r="BV172" s="111"/>
      <c r="BW172" s="111"/>
      <c r="BX172" s="111"/>
      <c r="BY172" s="111"/>
      <c r="BZ172" s="111"/>
      <c r="CA172" s="111"/>
      <c r="CB172" s="111"/>
      <c r="CC172" s="111"/>
      <c r="CD172" s="111"/>
      <c r="CE172" s="111"/>
      <c r="CF172" s="111"/>
      <c r="CG172" s="111"/>
      <c r="CH172" s="111"/>
      <c r="CI172" s="111"/>
      <c r="CJ172" s="111"/>
      <c r="CK172" s="111"/>
      <c r="CL172" s="111"/>
      <c r="CM172" s="111"/>
      <c r="CN172" s="111"/>
      <c r="CO172" s="111"/>
      <c r="CP172" s="111"/>
      <c r="CQ172" s="111"/>
      <c r="CR172" s="111"/>
      <c r="CS172" s="111"/>
      <c r="CT172" s="111"/>
      <c r="CU172" s="111"/>
      <c r="CV172" s="111"/>
      <c r="CW172" s="111"/>
      <c r="CX172" s="111"/>
      <c r="CY172" s="111"/>
      <c r="CZ172" s="111"/>
      <c r="DA172" s="111"/>
      <c r="DB172" s="111"/>
      <c r="DC172" s="111"/>
      <c r="DD172" s="111"/>
      <c r="DE172" s="111"/>
      <c r="DF172" s="111"/>
      <c r="DG172" s="111"/>
      <c r="DH172" s="111"/>
      <c r="DI172" s="111"/>
      <c r="DJ172" s="111"/>
      <c r="DK172" s="111"/>
      <c r="DL172" s="111"/>
      <c r="DM172" s="111"/>
      <c r="DN172" s="111"/>
      <c r="DO172" s="111"/>
      <c r="DP172" s="111"/>
      <c r="DQ172" s="111"/>
      <c r="DR172" s="111"/>
      <c r="DS172" s="111"/>
      <c r="DT172" s="111"/>
      <c r="DU172" s="111"/>
      <c r="DV172" s="111"/>
      <c r="DW172" s="111"/>
      <c r="DX172" s="111"/>
      <c r="DY172" s="111"/>
      <c r="DZ172" s="111"/>
      <c r="EA172" s="111"/>
      <c r="EB172" s="111"/>
      <c r="EC172" s="111"/>
      <c r="ED172" s="111"/>
      <c r="EE172" s="111"/>
      <c r="EF172" s="111"/>
      <c r="EG172" s="111"/>
      <c r="EH172" s="111"/>
      <c r="EI172" s="111"/>
      <c r="EJ172" s="111"/>
      <c r="EK172" s="111"/>
      <c r="EL172" s="111"/>
      <c r="EM172" s="111"/>
      <c r="EN172" s="111"/>
      <c r="EO172" s="111"/>
      <c r="EP172" s="111"/>
      <c r="EQ172" s="111"/>
      <c r="ER172" s="111"/>
      <c r="ES172" s="111"/>
      <c r="ET172" s="111"/>
      <c r="EU172" s="111"/>
      <c r="EV172" s="111"/>
      <c r="EW172" s="111"/>
      <c r="EX172" s="111"/>
      <c r="EY172" s="111"/>
      <c r="EZ172" s="111"/>
      <c r="FA172" s="111"/>
      <c r="FB172" s="111"/>
      <c r="FC172" s="111"/>
      <c r="FD172" s="111"/>
      <c r="FE172" s="111"/>
      <c r="FF172" s="111"/>
      <c r="FG172" s="111"/>
      <c r="FH172" s="111"/>
      <c r="FI172" s="111"/>
      <c r="FJ172" s="111"/>
      <c r="FK172" s="111"/>
      <c r="FL172" s="111"/>
      <c r="FM172" s="111"/>
      <c r="FN172" s="111"/>
      <c r="FO172" s="111"/>
      <c r="FP172" s="111"/>
      <c r="FQ172" s="111"/>
      <c r="FR172" s="111"/>
      <c r="FS172" s="111"/>
      <c r="FT172" s="111"/>
      <c r="FU172" s="111"/>
      <c r="FV172" s="111"/>
      <c r="FW172" s="111"/>
      <c r="FX172" s="111"/>
      <c r="FY172" s="111"/>
      <c r="FZ172" s="111"/>
      <c r="GA172" s="111"/>
      <c r="GB172" s="111"/>
      <c r="GC172" s="111"/>
      <c r="GD172" s="111"/>
      <c r="GE172" s="111"/>
      <c r="GF172" s="111"/>
      <c r="GG172" s="111"/>
      <c r="GH172" s="111"/>
      <c r="GI172" s="111"/>
      <c r="GJ172" s="111"/>
      <c r="GK172" s="111"/>
      <c r="GL172" s="111"/>
      <c r="GM172" s="111"/>
      <c r="GN172" s="111"/>
      <c r="GO172" s="111"/>
      <c r="GP172" s="111"/>
      <c r="GQ172" s="111"/>
      <c r="GR172" s="111"/>
      <c r="GS172" s="111"/>
      <c r="GT172" s="111"/>
      <c r="GU172" s="111"/>
      <c r="GV172" s="111"/>
      <c r="GW172" s="111"/>
      <c r="GX172" s="111"/>
      <c r="GY172" s="111"/>
      <c r="GZ172" s="111"/>
      <c r="HA172" s="111"/>
      <c r="HB172" s="111"/>
      <c r="HC172" s="111"/>
      <c r="HD172" s="111"/>
      <c r="HE172" s="111"/>
      <c r="HF172" s="111"/>
      <c r="HG172" s="111"/>
      <c r="HH172" s="111"/>
      <c r="HI172" s="111"/>
      <c r="HJ172" s="111"/>
      <c r="HK172" s="111"/>
      <c r="HL172" s="111"/>
      <c r="HM172" s="111"/>
      <c r="HN172" s="111"/>
      <c r="HO172" s="111"/>
      <c r="HP172" s="111"/>
      <c r="HQ172" s="111"/>
      <c r="HR172" s="111"/>
      <c r="HS172" s="111"/>
    </row>
    <row r="173" spans="1:227" ht="12" customHeight="1">
      <c r="A173" s="74" t="s">
        <v>280</v>
      </c>
      <c r="B173" s="15"/>
      <c r="C173" s="15"/>
      <c r="D173" s="15" t="s">
        <v>17</v>
      </c>
      <c r="E173" s="15"/>
      <c r="F173" s="15"/>
      <c r="H173" s="136"/>
      <c r="I173" s="475"/>
      <c r="J173" s="476"/>
      <c r="K173" s="474"/>
      <c r="L173" s="474"/>
      <c r="AO173" s="111"/>
      <c r="AP173" s="111"/>
      <c r="AQ173" s="111"/>
      <c r="AR173" s="111"/>
      <c r="AS173" s="111"/>
      <c r="AT173" s="111"/>
      <c r="AU173" s="111"/>
      <c r="AV173" s="111"/>
      <c r="AW173" s="111"/>
      <c r="AX173" s="111"/>
      <c r="AY173" s="111"/>
      <c r="AZ173" s="111"/>
      <c r="BA173" s="111"/>
      <c r="BB173" s="111"/>
      <c r="BC173" s="111"/>
      <c r="BD173" s="111"/>
      <c r="BE173" s="111"/>
      <c r="BF173" s="111"/>
      <c r="BG173" s="111"/>
      <c r="BH173" s="111"/>
      <c r="BI173" s="111"/>
      <c r="BJ173" s="111"/>
      <c r="BK173" s="111"/>
      <c r="BL173" s="111"/>
      <c r="BM173" s="111"/>
      <c r="BN173" s="111"/>
      <c r="BO173" s="111"/>
      <c r="BP173" s="111"/>
      <c r="BQ173" s="111"/>
      <c r="BR173" s="111"/>
      <c r="BS173" s="111"/>
      <c r="BT173" s="111"/>
      <c r="BU173" s="111"/>
      <c r="BV173" s="111"/>
      <c r="BW173" s="111"/>
      <c r="BX173" s="111"/>
      <c r="BY173" s="111"/>
      <c r="BZ173" s="111"/>
      <c r="CA173" s="111"/>
      <c r="CB173" s="111"/>
      <c r="CC173" s="111"/>
      <c r="CD173" s="111"/>
      <c r="CE173" s="111"/>
      <c r="CF173" s="111"/>
      <c r="CG173" s="111"/>
      <c r="CH173" s="111"/>
      <c r="CI173" s="111"/>
      <c r="CJ173" s="111"/>
      <c r="CK173" s="111"/>
      <c r="CL173" s="111"/>
      <c r="CM173" s="111"/>
      <c r="CN173" s="111"/>
      <c r="CO173" s="111"/>
      <c r="CP173" s="111"/>
      <c r="CQ173" s="111"/>
      <c r="CR173" s="111"/>
      <c r="CS173" s="111"/>
      <c r="CT173" s="111"/>
      <c r="CU173" s="111"/>
      <c r="CV173" s="111"/>
      <c r="CW173" s="111"/>
      <c r="CX173" s="111"/>
      <c r="CY173" s="111"/>
      <c r="CZ173" s="111"/>
      <c r="DA173" s="111"/>
      <c r="DB173" s="111"/>
      <c r="DC173" s="111"/>
      <c r="DD173" s="111"/>
      <c r="DE173" s="111"/>
      <c r="DF173" s="111"/>
      <c r="DG173" s="111"/>
      <c r="DH173" s="111"/>
      <c r="DI173" s="111"/>
      <c r="DJ173" s="111"/>
      <c r="DK173" s="111"/>
      <c r="DL173" s="111"/>
      <c r="DM173" s="111"/>
      <c r="DN173" s="111"/>
      <c r="DO173" s="111"/>
      <c r="DP173" s="111"/>
      <c r="DQ173" s="111"/>
      <c r="DR173" s="111"/>
      <c r="DS173" s="111"/>
      <c r="DT173" s="111"/>
      <c r="DU173" s="111"/>
      <c r="DV173" s="111"/>
      <c r="DW173" s="111"/>
      <c r="DX173" s="111"/>
      <c r="DY173" s="111"/>
      <c r="DZ173" s="111"/>
      <c r="EA173" s="111"/>
      <c r="EB173" s="111"/>
      <c r="EC173" s="111"/>
      <c r="ED173" s="111"/>
      <c r="EE173" s="111"/>
      <c r="EF173" s="111"/>
      <c r="EG173" s="111"/>
      <c r="EH173" s="111"/>
      <c r="EI173" s="111"/>
      <c r="EJ173" s="111"/>
      <c r="EK173" s="111"/>
      <c r="EL173" s="111"/>
      <c r="EM173" s="111"/>
      <c r="EN173" s="111"/>
      <c r="EO173" s="111"/>
      <c r="EP173" s="111"/>
      <c r="EQ173" s="111"/>
      <c r="ER173" s="111"/>
      <c r="ES173" s="111"/>
      <c r="ET173" s="111"/>
      <c r="EU173" s="111"/>
      <c r="EV173" s="111"/>
      <c r="EW173" s="111"/>
      <c r="EX173" s="111"/>
      <c r="EY173" s="111"/>
      <c r="EZ173" s="111"/>
      <c r="FA173" s="111"/>
      <c r="FB173" s="111"/>
      <c r="FC173" s="111"/>
      <c r="FD173" s="111"/>
      <c r="FE173" s="111"/>
      <c r="FF173" s="111"/>
      <c r="FG173" s="111"/>
      <c r="FH173" s="111"/>
      <c r="FI173" s="111"/>
      <c r="FJ173" s="111"/>
      <c r="FK173" s="111"/>
      <c r="FL173" s="111"/>
      <c r="FM173" s="111"/>
      <c r="FN173" s="111"/>
      <c r="FO173" s="111"/>
      <c r="FP173" s="111"/>
      <c r="FQ173" s="111"/>
      <c r="FR173" s="111"/>
      <c r="FS173" s="111"/>
      <c r="FT173" s="111"/>
      <c r="FU173" s="111"/>
      <c r="FV173" s="111"/>
      <c r="FW173" s="111"/>
      <c r="FX173" s="111"/>
      <c r="FY173" s="111"/>
      <c r="FZ173" s="111"/>
      <c r="GA173" s="111"/>
      <c r="GB173" s="111"/>
      <c r="GC173" s="111"/>
      <c r="GD173" s="111"/>
      <c r="GE173" s="111"/>
      <c r="GF173" s="111"/>
      <c r="GG173" s="111"/>
      <c r="GH173" s="111"/>
      <c r="GI173" s="111"/>
      <c r="GJ173" s="111"/>
      <c r="GK173" s="111"/>
      <c r="GL173" s="111"/>
      <c r="GM173" s="111"/>
      <c r="GN173" s="111"/>
      <c r="GO173" s="111"/>
      <c r="GP173" s="111"/>
      <c r="GQ173" s="111"/>
      <c r="GR173" s="111"/>
      <c r="GS173" s="111"/>
      <c r="GT173" s="111"/>
      <c r="GU173" s="111"/>
      <c r="GV173" s="111"/>
      <c r="GW173" s="111"/>
      <c r="GX173" s="111"/>
      <c r="GY173" s="111"/>
      <c r="GZ173" s="111"/>
      <c r="HA173" s="111"/>
      <c r="HB173" s="111"/>
      <c r="HC173" s="111"/>
      <c r="HD173" s="111"/>
      <c r="HE173" s="111"/>
      <c r="HF173" s="111"/>
      <c r="HG173" s="111"/>
      <c r="HH173" s="111"/>
      <c r="HI173" s="111"/>
      <c r="HJ173" s="111"/>
      <c r="HK173" s="111"/>
      <c r="HL173" s="111"/>
      <c r="HM173" s="111"/>
      <c r="HN173" s="111"/>
      <c r="HO173" s="111"/>
      <c r="HP173" s="111"/>
      <c r="HQ173" s="111"/>
      <c r="HR173" s="111"/>
      <c r="HS173" s="111"/>
    </row>
    <row r="174" spans="1:227" ht="36">
      <c r="A174" s="74" t="s">
        <v>281</v>
      </c>
      <c r="B174" s="15"/>
      <c r="C174" s="15"/>
      <c r="D174" s="15" t="s">
        <v>18</v>
      </c>
      <c r="E174" s="15"/>
      <c r="F174" s="15"/>
      <c r="H174" s="136" t="s">
        <v>454</v>
      </c>
      <c r="I174" s="475"/>
      <c r="J174" s="473" t="s">
        <v>503</v>
      </c>
      <c r="K174" s="474"/>
      <c r="L174" s="474"/>
      <c r="AO174" s="111"/>
      <c r="AP174" s="111"/>
      <c r="AQ174" s="111"/>
      <c r="AR174" s="111"/>
      <c r="AS174" s="111"/>
      <c r="AT174" s="111"/>
      <c r="AU174" s="111"/>
      <c r="AV174" s="111"/>
      <c r="AW174" s="111"/>
      <c r="AX174" s="111"/>
      <c r="AY174" s="111"/>
      <c r="AZ174" s="111"/>
      <c r="BA174" s="111"/>
      <c r="BB174" s="111"/>
      <c r="BC174" s="111"/>
      <c r="BD174" s="111"/>
      <c r="BE174" s="111"/>
      <c r="BF174" s="111"/>
      <c r="BG174" s="111"/>
      <c r="BH174" s="111"/>
      <c r="BI174" s="111"/>
      <c r="BJ174" s="111"/>
      <c r="BK174" s="111"/>
      <c r="BL174" s="111"/>
      <c r="BM174" s="111"/>
      <c r="BN174" s="111"/>
      <c r="BO174" s="111"/>
      <c r="BP174" s="111"/>
      <c r="BQ174" s="111"/>
      <c r="BR174" s="111"/>
      <c r="BS174" s="111"/>
      <c r="BT174" s="111"/>
      <c r="BU174" s="111"/>
      <c r="BV174" s="111"/>
      <c r="BW174" s="111"/>
      <c r="BX174" s="111"/>
      <c r="BY174" s="111"/>
      <c r="BZ174" s="111"/>
      <c r="CA174" s="111"/>
      <c r="CB174" s="111"/>
      <c r="CC174" s="111"/>
      <c r="CD174" s="111"/>
      <c r="CE174" s="111"/>
      <c r="CF174" s="111"/>
      <c r="CG174" s="111"/>
      <c r="CH174" s="111"/>
      <c r="CI174" s="111"/>
      <c r="CJ174" s="111"/>
      <c r="CK174" s="111"/>
      <c r="CL174" s="111"/>
      <c r="CM174" s="111"/>
      <c r="CN174" s="111"/>
      <c r="CO174" s="111"/>
      <c r="CP174" s="111"/>
      <c r="CQ174" s="111"/>
      <c r="CR174" s="111"/>
      <c r="CS174" s="111"/>
      <c r="CT174" s="111"/>
      <c r="CU174" s="111"/>
      <c r="CV174" s="111"/>
      <c r="CW174" s="111"/>
      <c r="CX174" s="111"/>
      <c r="CY174" s="111"/>
      <c r="CZ174" s="111"/>
      <c r="DA174" s="111"/>
      <c r="DB174" s="111"/>
      <c r="DC174" s="111"/>
      <c r="DD174" s="111"/>
      <c r="DE174" s="111"/>
      <c r="DF174" s="111"/>
      <c r="DG174" s="111"/>
      <c r="DH174" s="111"/>
      <c r="DI174" s="111"/>
      <c r="DJ174" s="111"/>
      <c r="DK174" s="111"/>
      <c r="DL174" s="111"/>
      <c r="DM174" s="111"/>
      <c r="DN174" s="111"/>
      <c r="DO174" s="111"/>
      <c r="DP174" s="111"/>
      <c r="DQ174" s="111"/>
      <c r="DR174" s="111"/>
      <c r="DS174" s="111"/>
      <c r="DT174" s="111"/>
      <c r="DU174" s="111"/>
      <c r="DV174" s="111"/>
      <c r="DW174" s="111"/>
      <c r="DX174" s="111"/>
      <c r="DY174" s="111"/>
      <c r="DZ174" s="111"/>
      <c r="EA174" s="111"/>
      <c r="EB174" s="111"/>
      <c r="EC174" s="111"/>
      <c r="ED174" s="111"/>
      <c r="EE174" s="111"/>
      <c r="EF174" s="111"/>
      <c r="EG174" s="111"/>
      <c r="EH174" s="111"/>
      <c r="EI174" s="111"/>
      <c r="EJ174" s="111"/>
      <c r="EK174" s="111"/>
      <c r="EL174" s="111"/>
      <c r="EM174" s="111"/>
      <c r="EN174" s="111"/>
      <c r="EO174" s="111"/>
      <c r="EP174" s="111"/>
      <c r="EQ174" s="111"/>
      <c r="ER174" s="111"/>
      <c r="ES174" s="111"/>
      <c r="ET174" s="111"/>
      <c r="EU174" s="111"/>
      <c r="EV174" s="111"/>
      <c r="EW174" s="111"/>
      <c r="EX174" s="111"/>
      <c r="EY174" s="111"/>
      <c r="EZ174" s="111"/>
      <c r="FA174" s="111"/>
      <c r="FB174" s="111"/>
      <c r="FC174" s="111"/>
      <c r="FD174" s="111"/>
      <c r="FE174" s="111"/>
      <c r="FF174" s="111"/>
      <c r="FG174" s="111"/>
      <c r="FH174" s="111"/>
      <c r="FI174" s="111"/>
      <c r="FJ174" s="111"/>
      <c r="FK174" s="111"/>
      <c r="FL174" s="111"/>
      <c r="FM174" s="111"/>
      <c r="FN174" s="111"/>
      <c r="FO174" s="111"/>
      <c r="FP174" s="111"/>
      <c r="FQ174" s="111"/>
      <c r="FR174" s="111"/>
      <c r="FS174" s="111"/>
      <c r="FT174" s="111"/>
      <c r="FU174" s="111"/>
      <c r="FV174" s="111"/>
      <c r="FW174" s="111"/>
      <c r="FX174" s="111"/>
      <c r="FY174" s="111"/>
      <c r="FZ174" s="111"/>
      <c r="GA174" s="111"/>
      <c r="GB174" s="111"/>
      <c r="GC174" s="111"/>
      <c r="GD174" s="111"/>
      <c r="GE174" s="111"/>
      <c r="GF174" s="111"/>
      <c r="GG174" s="111"/>
      <c r="GH174" s="111"/>
      <c r="GI174" s="111"/>
      <c r="GJ174" s="111"/>
      <c r="GK174" s="111"/>
      <c r="GL174" s="111"/>
      <c r="GM174" s="111"/>
      <c r="GN174" s="111"/>
      <c r="GO174" s="111"/>
      <c r="GP174" s="111"/>
      <c r="GQ174" s="111"/>
      <c r="GR174" s="111"/>
      <c r="GS174" s="111"/>
      <c r="GT174" s="111"/>
      <c r="GU174" s="111"/>
      <c r="GV174" s="111"/>
      <c r="GW174" s="111"/>
      <c r="GX174" s="111"/>
      <c r="GY174" s="111"/>
      <c r="GZ174" s="111"/>
      <c r="HA174" s="111"/>
      <c r="HB174" s="111"/>
      <c r="HC174" s="111"/>
      <c r="HD174" s="111"/>
      <c r="HE174" s="111"/>
      <c r="HF174" s="111"/>
      <c r="HG174" s="111"/>
      <c r="HH174" s="111"/>
      <c r="HI174" s="111"/>
      <c r="HJ174" s="111"/>
      <c r="HK174" s="111"/>
      <c r="HL174" s="111"/>
      <c r="HM174" s="111"/>
      <c r="HN174" s="111"/>
      <c r="HO174" s="111"/>
      <c r="HP174" s="111"/>
      <c r="HQ174" s="111"/>
      <c r="HR174" s="111"/>
      <c r="HS174" s="111"/>
    </row>
    <row r="175" spans="1:227" ht="12">
      <c r="A175" s="74"/>
      <c r="B175" s="15"/>
      <c r="C175" s="15" t="s">
        <v>15</v>
      </c>
      <c r="D175" s="15"/>
      <c r="E175" s="15"/>
      <c r="F175" s="15"/>
      <c r="H175" s="136"/>
      <c r="I175" s="475"/>
      <c r="J175" s="474"/>
      <c r="K175" s="474"/>
      <c r="L175" s="474"/>
      <c r="AO175" s="111"/>
      <c r="AP175" s="111"/>
      <c r="AQ175" s="111"/>
      <c r="AR175" s="111"/>
      <c r="AS175" s="111"/>
      <c r="AT175" s="111"/>
      <c r="AU175" s="111"/>
      <c r="AV175" s="111"/>
      <c r="AW175" s="111"/>
      <c r="AX175" s="111"/>
      <c r="AY175" s="111"/>
      <c r="AZ175" s="111"/>
      <c r="BA175" s="111"/>
      <c r="BB175" s="111"/>
      <c r="BC175" s="111"/>
      <c r="BD175" s="111"/>
      <c r="BE175" s="111"/>
      <c r="BF175" s="111"/>
      <c r="BG175" s="111"/>
      <c r="BH175" s="111"/>
      <c r="BI175" s="111"/>
      <c r="BJ175" s="111"/>
      <c r="BK175" s="111"/>
      <c r="BL175" s="111"/>
      <c r="BM175" s="111"/>
      <c r="BN175" s="111"/>
      <c r="BO175" s="111"/>
      <c r="BP175" s="111"/>
      <c r="BQ175" s="111"/>
      <c r="BR175" s="111"/>
      <c r="BS175" s="111"/>
      <c r="BT175" s="111"/>
      <c r="BU175" s="111"/>
      <c r="BV175" s="111"/>
      <c r="BW175" s="111"/>
      <c r="BX175" s="111"/>
      <c r="BY175" s="111"/>
      <c r="BZ175" s="111"/>
      <c r="CA175" s="111"/>
      <c r="CB175" s="111"/>
      <c r="CC175" s="111"/>
      <c r="CD175" s="111"/>
      <c r="CE175" s="111"/>
      <c r="CF175" s="111"/>
      <c r="CG175" s="111"/>
      <c r="CH175" s="111"/>
      <c r="CI175" s="111"/>
      <c r="CJ175" s="111"/>
      <c r="CK175" s="111"/>
      <c r="CL175" s="111"/>
      <c r="CM175" s="111"/>
      <c r="CN175" s="111"/>
      <c r="CO175" s="111"/>
      <c r="CP175" s="111"/>
      <c r="CQ175" s="111"/>
      <c r="CR175" s="111"/>
      <c r="CS175" s="111"/>
      <c r="CT175" s="111"/>
      <c r="CU175" s="111"/>
      <c r="CV175" s="111"/>
      <c r="CW175" s="111"/>
      <c r="CX175" s="111"/>
      <c r="CY175" s="111"/>
      <c r="CZ175" s="111"/>
      <c r="DA175" s="111"/>
      <c r="DB175" s="111"/>
      <c r="DC175" s="111"/>
      <c r="DD175" s="111"/>
      <c r="DE175" s="111"/>
      <c r="DF175" s="111"/>
      <c r="DG175" s="111"/>
      <c r="DH175" s="111"/>
      <c r="DI175" s="111"/>
      <c r="DJ175" s="111"/>
      <c r="DK175" s="111"/>
      <c r="DL175" s="111"/>
      <c r="DM175" s="111"/>
      <c r="DN175" s="111"/>
      <c r="DO175" s="111"/>
      <c r="DP175" s="111"/>
      <c r="DQ175" s="111"/>
      <c r="DR175" s="111"/>
      <c r="DS175" s="111"/>
      <c r="DT175" s="111"/>
      <c r="DU175" s="111"/>
      <c r="DV175" s="111"/>
      <c r="DW175" s="111"/>
      <c r="DX175" s="111"/>
      <c r="DY175" s="111"/>
      <c r="DZ175" s="111"/>
      <c r="EA175" s="111"/>
      <c r="EB175" s="111"/>
      <c r="EC175" s="111"/>
      <c r="ED175" s="111"/>
      <c r="EE175" s="111"/>
      <c r="EF175" s="111"/>
      <c r="EG175" s="111"/>
      <c r="EH175" s="111"/>
      <c r="EI175" s="111"/>
      <c r="EJ175" s="111"/>
      <c r="EK175" s="111"/>
      <c r="EL175" s="111"/>
      <c r="EM175" s="111"/>
      <c r="EN175" s="111"/>
      <c r="EO175" s="111"/>
      <c r="EP175" s="111"/>
      <c r="EQ175" s="111"/>
      <c r="ER175" s="111"/>
      <c r="ES175" s="111"/>
      <c r="ET175" s="111"/>
      <c r="EU175" s="111"/>
      <c r="EV175" s="111"/>
      <c r="EW175" s="111"/>
      <c r="EX175" s="111"/>
      <c r="EY175" s="111"/>
      <c r="EZ175" s="111"/>
      <c r="FA175" s="111"/>
      <c r="FB175" s="111"/>
      <c r="FC175" s="111"/>
      <c r="FD175" s="111"/>
      <c r="FE175" s="111"/>
      <c r="FF175" s="111"/>
      <c r="FG175" s="111"/>
      <c r="FH175" s="111"/>
      <c r="FI175" s="111"/>
      <c r="FJ175" s="111"/>
      <c r="FK175" s="111"/>
      <c r="FL175" s="111"/>
      <c r="FM175" s="111"/>
      <c r="FN175" s="111"/>
      <c r="FO175" s="111"/>
      <c r="FP175" s="111"/>
      <c r="FQ175" s="111"/>
      <c r="FR175" s="111"/>
      <c r="FS175" s="111"/>
      <c r="FT175" s="111"/>
      <c r="FU175" s="111"/>
      <c r="FV175" s="111"/>
      <c r="FW175" s="111"/>
      <c r="FX175" s="111"/>
      <c r="FY175" s="111"/>
      <c r="FZ175" s="111"/>
      <c r="GA175" s="111"/>
      <c r="GB175" s="111"/>
      <c r="GC175" s="111"/>
      <c r="GD175" s="111"/>
      <c r="GE175" s="111"/>
      <c r="GF175" s="111"/>
      <c r="GG175" s="111"/>
      <c r="GH175" s="111"/>
      <c r="GI175" s="111"/>
      <c r="GJ175" s="111"/>
      <c r="GK175" s="111"/>
      <c r="GL175" s="111"/>
      <c r="GM175" s="111"/>
      <c r="GN175" s="111"/>
      <c r="GO175" s="111"/>
      <c r="GP175" s="111"/>
      <c r="GQ175" s="111"/>
      <c r="GR175" s="111"/>
      <c r="GS175" s="111"/>
      <c r="GT175" s="111"/>
      <c r="GU175" s="111"/>
      <c r="GV175" s="111"/>
      <c r="GW175" s="111"/>
      <c r="GX175" s="111"/>
      <c r="GY175" s="111"/>
      <c r="GZ175" s="111"/>
      <c r="HA175" s="111"/>
      <c r="HB175" s="111"/>
      <c r="HC175" s="111"/>
      <c r="HD175" s="111"/>
      <c r="HE175" s="111"/>
      <c r="HF175" s="111"/>
      <c r="HG175" s="111"/>
      <c r="HH175" s="111"/>
      <c r="HI175" s="111"/>
      <c r="HJ175" s="111"/>
      <c r="HK175" s="111"/>
      <c r="HL175" s="111"/>
      <c r="HM175" s="111"/>
      <c r="HN175" s="111"/>
      <c r="HO175" s="111"/>
      <c r="HP175" s="111"/>
      <c r="HQ175" s="111"/>
      <c r="HR175" s="111"/>
      <c r="HS175" s="111"/>
    </row>
    <row r="176" spans="1:227" ht="12" customHeight="1">
      <c r="A176" s="74" t="s">
        <v>282</v>
      </c>
      <c r="B176" s="15"/>
      <c r="C176" s="15"/>
      <c r="D176" s="15" t="s">
        <v>17</v>
      </c>
      <c r="E176" s="15"/>
      <c r="F176" s="15"/>
      <c r="H176" s="127"/>
      <c r="I176" s="475"/>
      <c r="J176" s="477"/>
      <c r="K176" s="474"/>
      <c r="L176" s="474"/>
      <c r="AO176" s="111"/>
      <c r="AP176" s="111"/>
      <c r="AQ176" s="111"/>
      <c r="AR176" s="111"/>
      <c r="AS176" s="111"/>
      <c r="AT176" s="111"/>
      <c r="AU176" s="111"/>
      <c r="AV176" s="111"/>
      <c r="AW176" s="111"/>
      <c r="AX176" s="111"/>
      <c r="AY176" s="111"/>
      <c r="AZ176" s="111"/>
      <c r="BA176" s="111"/>
      <c r="BB176" s="111"/>
      <c r="BC176" s="111"/>
      <c r="BD176" s="111"/>
      <c r="BE176" s="111"/>
      <c r="BF176" s="111"/>
      <c r="BG176" s="111"/>
      <c r="BH176" s="111"/>
      <c r="BI176" s="111"/>
      <c r="BJ176" s="111"/>
      <c r="BK176" s="111"/>
      <c r="BL176" s="111"/>
      <c r="BM176" s="111"/>
      <c r="BN176" s="111"/>
      <c r="BO176" s="111"/>
      <c r="BP176" s="111"/>
      <c r="BQ176" s="111"/>
      <c r="BR176" s="111"/>
      <c r="BS176" s="111"/>
      <c r="BT176" s="111"/>
      <c r="BU176" s="111"/>
      <c r="BV176" s="111"/>
      <c r="BW176" s="111"/>
      <c r="BX176" s="111"/>
      <c r="BY176" s="111"/>
      <c r="BZ176" s="111"/>
      <c r="CA176" s="111"/>
      <c r="CB176" s="111"/>
      <c r="CC176" s="111"/>
      <c r="CD176" s="111"/>
      <c r="CE176" s="111"/>
      <c r="CF176" s="111"/>
      <c r="CG176" s="111"/>
      <c r="CH176" s="111"/>
      <c r="CI176" s="111"/>
      <c r="CJ176" s="111"/>
      <c r="CK176" s="111"/>
      <c r="CL176" s="111"/>
      <c r="CM176" s="111"/>
      <c r="CN176" s="111"/>
      <c r="CO176" s="111"/>
      <c r="CP176" s="111"/>
      <c r="CQ176" s="111"/>
      <c r="CR176" s="111"/>
      <c r="CS176" s="111"/>
      <c r="CT176" s="111"/>
      <c r="CU176" s="111"/>
      <c r="CV176" s="111"/>
      <c r="CW176" s="111"/>
      <c r="CX176" s="111"/>
      <c r="CY176" s="111"/>
      <c r="CZ176" s="111"/>
      <c r="DA176" s="111"/>
      <c r="DB176" s="111"/>
      <c r="DC176" s="111"/>
      <c r="DD176" s="111"/>
      <c r="DE176" s="111"/>
      <c r="DF176" s="111"/>
      <c r="DG176" s="111"/>
      <c r="DH176" s="111"/>
      <c r="DI176" s="111"/>
      <c r="DJ176" s="111"/>
      <c r="DK176" s="111"/>
      <c r="DL176" s="111"/>
      <c r="DM176" s="111"/>
      <c r="DN176" s="111"/>
      <c r="DO176" s="111"/>
      <c r="DP176" s="111"/>
      <c r="DQ176" s="111"/>
      <c r="DR176" s="111"/>
      <c r="DS176" s="111"/>
      <c r="DT176" s="111"/>
      <c r="DU176" s="111"/>
      <c r="DV176" s="111"/>
      <c r="DW176" s="111"/>
      <c r="DX176" s="111"/>
      <c r="DY176" s="111"/>
      <c r="DZ176" s="111"/>
      <c r="EA176" s="111"/>
      <c r="EB176" s="111"/>
      <c r="EC176" s="111"/>
      <c r="ED176" s="111"/>
      <c r="EE176" s="111"/>
      <c r="EF176" s="111"/>
      <c r="EG176" s="111"/>
      <c r="EH176" s="111"/>
      <c r="EI176" s="111"/>
      <c r="EJ176" s="111"/>
      <c r="EK176" s="111"/>
      <c r="EL176" s="111"/>
      <c r="EM176" s="111"/>
      <c r="EN176" s="111"/>
      <c r="EO176" s="111"/>
      <c r="EP176" s="111"/>
      <c r="EQ176" s="111"/>
      <c r="ER176" s="111"/>
      <c r="ES176" s="111"/>
      <c r="ET176" s="111"/>
      <c r="EU176" s="111"/>
      <c r="EV176" s="111"/>
      <c r="EW176" s="111"/>
      <c r="EX176" s="111"/>
      <c r="EY176" s="111"/>
      <c r="EZ176" s="111"/>
      <c r="FA176" s="111"/>
      <c r="FB176" s="111"/>
      <c r="FC176" s="111"/>
      <c r="FD176" s="111"/>
      <c r="FE176" s="111"/>
      <c r="FF176" s="111"/>
      <c r="FG176" s="111"/>
      <c r="FH176" s="111"/>
      <c r="FI176" s="111"/>
      <c r="FJ176" s="111"/>
      <c r="FK176" s="111"/>
      <c r="FL176" s="111"/>
      <c r="FM176" s="111"/>
      <c r="FN176" s="111"/>
      <c r="FO176" s="111"/>
      <c r="FP176" s="111"/>
      <c r="FQ176" s="111"/>
      <c r="FR176" s="111"/>
      <c r="FS176" s="111"/>
      <c r="FT176" s="111"/>
      <c r="FU176" s="111"/>
      <c r="FV176" s="111"/>
      <c r="FW176" s="111"/>
      <c r="FX176" s="111"/>
      <c r="FY176" s="111"/>
      <c r="FZ176" s="111"/>
      <c r="GA176" s="111"/>
      <c r="GB176" s="111"/>
      <c r="GC176" s="111"/>
      <c r="GD176" s="111"/>
      <c r="GE176" s="111"/>
      <c r="GF176" s="111"/>
      <c r="GG176" s="111"/>
      <c r="GH176" s="111"/>
      <c r="GI176" s="111"/>
      <c r="GJ176" s="111"/>
      <c r="GK176" s="111"/>
      <c r="GL176" s="111"/>
      <c r="GM176" s="111"/>
      <c r="GN176" s="111"/>
      <c r="GO176" s="111"/>
      <c r="GP176" s="111"/>
      <c r="GQ176" s="111"/>
      <c r="GR176" s="111"/>
      <c r="GS176" s="111"/>
      <c r="GT176" s="111"/>
      <c r="GU176" s="111"/>
      <c r="GV176" s="111"/>
      <c r="GW176" s="111"/>
      <c r="GX176" s="111"/>
      <c r="GY176" s="111"/>
      <c r="GZ176" s="111"/>
      <c r="HA176" s="111"/>
      <c r="HB176" s="111"/>
      <c r="HC176" s="111"/>
      <c r="HD176" s="111"/>
      <c r="HE176" s="111"/>
      <c r="HF176" s="111"/>
      <c r="HG176" s="111"/>
      <c r="HH176" s="111"/>
      <c r="HI176" s="111"/>
      <c r="HJ176" s="111"/>
      <c r="HK176" s="111"/>
      <c r="HL176" s="111"/>
      <c r="HM176" s="111"/>
      <c r="HN176" s="111"/>
      <c r="HO176" s="111"/>
      <c r="HP176" s="111"/>
      <c r="HQ176" s="111"/>
      <c r="HR176" s="111"/>
      <c r="HS176" s="111"/>
    </row>
    <row r="177" spans="1:227" ht="12" customHeight="1">
      <c r="A177" s="74" t="s">
        <v>283</v>
      </c>
      <c r="B177" s="15"/>
      <c r="C177" s="15"/>
      <c r="D177" s="15" t="s">
        <v>19</v>
      </c>
      <c r="E177" s="15"/>
      <c r="F177" s="15"/>
      <c r="G177" s="339"/>
      <c r="H177" s="136"/>
      <c r="I177" s="475"/>
      <c r="J177" s="477"/>
      <c r="K177" s="474"/>
      <c r="L177" s="474"/>
      <c r="AO177" s="111"/>
      <c r="AP177" s="111"/>
      <c r="AQ177" s="111"/>
      <c r="AR177" s="111"/>
      <c r="AS177" s="111"/>
      <c r="AT177" s="111"/>
      <c r="AU177" s="111"/>
      <c r="AV177" s="111"/>
      <c r="AW177" s="111"/>
      <c r="AX177" s="111"/>
      <c r="AY177" s="111"/>
      <c r="AZ177" s="111"/>
      <c r="BA177" s="111"/>
      <c r="BB177" s="111"/>
      <c r="BC177" s="111"/>
      <c r="BD177" s="111"/>
      <c r="BE177" s="111"/>
      <c r="BF177" s="111"/>
      <c r="BG177" s="111"/>
      <c r="BH177" s="111"/>
      <c r="BI177" s="111"/>
      <c r="BJ177" s="111"/>
      <c r="BK177" s="111"/>
      <c r="BL177" s="111"/>
      <c r="BM177" s="111"/>
      <c r="BN177" s="111"/>
      <c r="BO177" s="111"/>
      <c r="BP177" s="111"/>
      <c r="BQ177" s="111"/>
      <c r="BR177" s="111"/>
      <c r="BS177" s="111"/>
      <c r="BT177" s="111"/>
      <c r="BU177" s="111"/>
      <c r="BV177" s="111"/>
      <c r="BW177" s="111"/>
      <c r="BX177" s="111"/>
      <c r="BY177" s="111"/>
      <c r="BZ177" s="111"/>
      <c r="CA177" s="111"/>
      <c r="CB177" s="111"/>
      <c r="CC177" s="111"/>
      <c r="CD177" s="111"/>
      <c r="CE177" s="111"/>
      <c r="CF177" s="111"/>
      <c r="CG177" s="111"/>
      <c r="CH177" s="111"/>
      <c r="CI177" s="111"/>
      <c r="CJ177" s="111"/>
      <c r="CK177" s="111"/>
      <c r="CL177" s="111"/>
      <c r="CM177" s="111"/>
      <c r="CN177" s="111"/>
      <c r="CO177" s="111"/>
      <c r="CP177" s="111"/>
      <c r="CQ177" s="111"/>
      <c r="CR177" s="111"/>
      <c r="CS177" s="111"/>
      <c r="CT177" s="111"/>
      <c r="CU177" s="111"/>
      <c r="CV177" s="111"/>
      <c r="CW177" s="111"/>
      <c r="CX177" s="111"/>
      <c r="CY177" s="111"/>
      <c r="CZ177" s="111"/>
      <c r="DA177" s="111"/>
      <c r="DB177" s="111"/>
      <c r="DC177" s="111"/>
      <c r="DD177" s="111"/>
      <c r="DE177" s="111"/>
      <c r="DF177" s="111"/>
      <c r="DG177" s="111"/>
      <c r="DH177" s="111"/>
      <c r="DI177" s="111"/>
      <c r="DJ177" s="111"/>
      <c r="DK177" s="111"/>
      <c r="DL177" s="111"/>
      <c r="DM177" s="111"/>
      <c r="DN177" s="111"/>
      <c r="DO177" s="111"/>
      <c r="DP177" s="111"/>
      <c r="DQ177" s="111"/>
      <c r="DR177" s="111"/>
      <c r="DS177" s="111"/>
      <c r="DT177" s="111"/>
      <c r="DU177" s="111"/>
      <c r="DV177" s="111"/>
      <c r="DW177" s="111"/>
      <c r="DX177" s="111"/>
      <c r="DY177" s="111"/>
      <c r="DZ177" s="111"/>
      <c r="EA177" s="111"/>
      <c r="EB177" s="111"/>
      <c r="EC177" s="111"/>
      <c r="ED177" s="111"/>
      <c r="EE177" s="111"/>
      <c r="EF177" s="111"/>
      <c r="EG177" s="111"/>
      <c r="EH177" s="111"/>
      <c r="EI177" s="111"/>
      <c r="EJ177" s="111"/>
      <c r="EK177" s="111"/>
      <c r="EL177" s="111"/>
      <c r="EM177" s="111"/>
      <c r="EN177" s="111"/>
      <c r="EO177" s="111"/>
      <c r="EP177" s="111"/>
      <c r="EQ177" s="111"/>
      <c r="ER177" s="111"/>
      <c r="ES177" s="111"/>
      <c r="ET177" s="111"/>
      <c r="EU177" s="111"/>
      <c r="EV177" s="111"/>
      <c r="EW177" s="111"/>
      <c r="EX177" s="111"/>
      <c r="EY177" s="111"/>
      <c r="EZ177" s="111"/>
      <c r="FA177" s="111"/>
      <c r="FB177" s="111"/>
      <c r="FC177" s="111"/>
      <c r="FD177" s="111"/>
      <c r="FE177" s="111"/>
      <c r="FF177" s="111"/>
      <c r="FG177" s="111"/>
      <c r="FH177" s="111"/>
      <c r="FI177" s="111"/>
      <c r="FJ177" s="111"/>
      <c r="FK177" s="111"/>
      <c r="FL177" s="111"/>
      <c r="FM177" s="111"/>
      <c r="FN177" s="111"/>
      <c r="FO177" s="111"/>
      <c r="FP177" s="111"/>
      <c r="FQ177" s="111"/>
      <c r="FR177" s="111"/>
      <c r="FS177" s="111"/>
      <c r="FT177" s="111"/>
      <c r="FU177" s="111"/>
      <c r="FV177" s="111"/>
      <c r="FW177" s="111"/>
      <c r="FX177" s="111"/>
      <c r="FY177" s="111"/>
      <c r="FZ177" s="111"/>
      <c r="GA177" s="111"/>
      <c r="GB177" s="111"/>
      <c r="GC177" s="111"/>
      <c r="GD177" s="111"/>
      <c r="GE177" s="111"/>
      <c r="GF177" s="111"/>
      <c r="GG177" s="111"/>
      <c r="GH177" s="111"/>
      <c r="GI177" s="111"/>
      <c r="GJ177" s="111"/>
      <c r="GK177" s="111"/>
      <c r="GL177" s="111"/>
      <c r="GM177" s="111"/>
      <c r="GN177" s="111"/>
      <c r="GO177" s="111"/>
      <c r="GP177" s="111"/>
      <c r="GQ177" s="111"/>
      <c r="GR177" s="111"/>
      <c r="GS177" s="111"/>
      <c r="GT177" s="111"/>
      <c r="GU177" s="111"/>
      <c r="GV177" s="111"/>
      <c r="GW177" s="111"/>
      <c r="GX177" s="111"/>
      <c r="GY177" s="111"/>
      <c r="GZ177" s="111"/>
      <c r="HA177" s="111"/>
      <c r="HB177" s="111"/>
      <c r="HC177" s="111"/>
      <c r="HD177" s="111"/>
      <c r="HE177" s="111"/>
      <c r="HF177" s="111"/>
      <c r="HG177" s="111"/>
      <c r="HH177" s="111"/>
      <c r="HI177" s="111"/>
      <c r="HJ177" s="111"/>
      <c r="HK177" s="111"/>
      <c r="HL177" s="111"/>
      <c r="HM177" s="111"/>
      <c r="HN177" s="111"/>
      <c r="HO177" s="111"/>
      <c r="HP177" s="111"/>
      <c r="HQ177" s="111"/>
      <c r="HR177" s="111"/>
      <c r="HS177" s="111"/>
    </row>
    <row r="178" spans="1:227" ht="12" customHeight="1">
      <c r="A178" s="74"/>
      <c r="B178" s="15"/>
      <c r="C178" s="15" t="s">
        <v>20</v>
      </c>
      <c r="D178" s="15"/>
      <c r="E178" s="15"/>
      <c r="F178" s="15"/>
      <c r="H178" s="120"/>
      <c r="I178" s="475"/>
      <c r="J178" s="477"/>
      <c r="K178" s="474"/>
      <c r="L178" s="474"/>
      <c r="AO178" s="111"/>
      <c r="AP178" s="111"/>
      <c r="AQ178" s="111"/>
      <c r="AR178" s="111"/>
      <c r="AS178" s="111"/>
      <c r="AT178" s="111"/>
      <c r="AU178" s="111"/>
      <c r="AV178" s="111"/>
      <c r="AW178" s="111"/>
      <c r="AX178" s="111"/>
      <c r="AY178" s="111"/>
      <c r="AZ178" s="111"/>
      <c r="BA178" s="111"/>
      <c r="BB178" s="111"/>
      <c r="BC178" s="111"/>
      <c r="BD178" s="111"/>
      <c r="BE178" s="111"/>
      <c r="BF178" s="111"/>
      <c r="BG178" s="111"/>
      <c r="BH178" s="111"/>
      <c r="BI178" s="111"/>
      <c r="BJ178" s="111"/>
      <c r="BK178" s="111"/>
      <c r="BL178" s="111"/>
      <c r="BM178" s="111"/>
      <c r="BN178" s="111"/>
      <c r="BO178" s="111"/>
      <c r="BP178" s="111"/>
      <c r="BQ178" s="111"/>
      <c r="BR178" s="111"/>
      <c r="BS178" s="111"/>
      <c r="BT178" s="111"/>
      <c r="BU178" s="111"/>
      <c r="BV178" s="111"/>
      <c r="BW178" s="111"/>
      <c r="BX178" s="111"/>
      <c r="BY178" s="111"/>
      <c r="BZ178" s="111"/>
      <c r="CA178" s="111"/>
      <c r="CB178" s="111"/>
      <c r="CC178" s="111"/>
      <c r="CD178" s="111"/>
      <c r="CE178" s="111"/>
      <c r="CF178" s="111"/>
      <c r="CG178" s="111"/>
      <c r="CH178" s="111"/>
      <c r="CI178" s="111"/>
      <c r="CJ178" s="111"/>
      <c r="CK178" s="111"/>
      <c r="CL178" s="111"/>
      <c r="CM178" s="111"/>
      <c r="CN178" s="111"/>
      <c r="CO178" s="111"/>
      <c r="CP178" s="111"/>
      <c r="CQ178" s="111"/>
      <c r="CR178" s="111"/>
      <c r="CS178" s="111"/>
      <c r="CT178" s="111"/>
      <c r="CU178" s="111"/>
      <c r="CV178" s="111"/>
      <c r="CW178" s="111"/>
      <c r="CX178" s="111"/>
      <c r="CY178" s="111"/>
      <c r="CZ178" s="111"/>
      <c r="DA178" s="111"/>
      <c r="DB178" s="111"/>
      <c r="DC178" s="111"/>
      <c r="DD178" s="111"/>
      <c r="DE178" s="111"/>
      <c r="DF178" s="111"/>
      <c r="DG178" s="111"/>
      <c r="DH178" s="111"/>
      <c r="DI178" s="111"/>
      <c r="DJ178" s="111"/>
      <c r="DK178" s="111"/>
      <c r="DL178" s="111"/>
      <c r="DM178" s="111"/>
      <c r="DN178" s="111"/>
      <c r="DO178" s="111"/>
      <c r="DP178" s="111"/>
      <c r="DQ178" s="111"/>
      <c r="DR178" s="111"/>
      <c r="DS178" s="111"/>
      <c r="DT178" s="111"/>
      <c r="DU178" s="111"/>
      <c r="DV178" s="111"/>
      <c r="DW178" s="111"/>
      <c r="DX178" s="111"/>
      <c r="DY178" s="111"/>
      <c r="DZ178" s="111"/>
      <c r="EA178" s="111"/>
      <c r="EB178" s="111"/>
      <c r="EC178" s="111"/>
      <c r="ED178" s="111"/>
      <c r="EE178" s="111"/>
      <c r="EF178" s="111"/>
      <c r="EG178" s="111"/>
      <c r="EH178" s="111"/>
      <c r="EI178" s="111"/>
      <c r="EJ178" s="111"/>
      <c r="EK178" s="111"/>
      <c r="EL178" s="111"/>
      <c r="EM178" s="111"/>
      <c r="EN178" s="111"/>
      <c r="EO178" s="111"/>
      <c r="EP178" s="111"/>
      <c r="EQ178" s="111"/>
      <c r="ER178" s="111"/>
      <c r="ES178" s="111"/>
      <c r="ET178" s="111"/>
      <c r="EU178" s="111"/>
      <c r="EV178" s="111"/>
      <c r="EW178" s="111"/>
      <c r="EX178" s="111"/>
      <c r="EY178" s="111"/>
      <c r="EZ178" s="111"/>
      <c r="FA178" s="111"/>
      <c r="FB178" s="111"/>
      <c r="FC178" s="111"/>
      <c r="FD178" s="111"/>
      <c r="FE178" s="111"/>
      <c r="FF178" s="111"/>
      <c r="FG178" s="111"/>
      <c r="FH178" s="111"/>
      <c r="FI178" s="111"/>
      <c r="FJ178" s="111"/>
      <c r="FK178" s="111"/>
      <c r="FL178" s="111"/>
      <c r="FM178" s="111"/>
      <c r="FN178" s="111"/>
      <c r="FO178" s="111"/>
      <c r="FP178" s="111"/>
      <c r="FQ178" s="111"/>
      <c r="FR178" s="111"/>
      <c r="FS178" s="111"/>
      <c r="FT178" s="111"/>
      <c r="FU178" s="111"/>
      <c r="FV178" s="111"/>
      <c r="FW178" s="111"/>
      <c r="FX178" s="111"/>
      <c r="FY178" s="111"/>
      <c r="FZ178" s="111"/>
      <c r="GA178" s="111"/>
      <c r="GB178" s="111"/>
      <c r="GC178" s="111"/>
      <c r="GD178" s="111"/>
      <c r="GE178" s="111"/>
      <c r="GF178" s="111"/>
      <c r="GG178" s="111"/>
      <c r="GH178" s="111"/>
      <c r="GI178" s="111"/>
      <c r="GJ178" s="111"/>
      <c r="GK178" s="111"/>
      <c r="GL178" s="111"/>
      <c r="GM178" s="111"/>
      <c r="GN178" s="111"/>
      <c r="GO178" s="111"/>
      <c r="GP178" s="111"/>
      <c r="GQ178" s="111"/>
      <c r="GR178" s="111"/>
      <c r="GS178" s="111"/>
      <c r="GT178" s="111"/>
      <c r="GU178" s="111"/>
      <c r="GV178" s="111"/>
      <c r="GW178" s="111"/>
      <c r="GX178" s="111"/>
      <c r="GY178" s="111"/>
      <c r="GZ178" s="111"/>
      <c r="HA178" s="111"/>
      <c r="HB178" s="111"/>
      <c r="HC178" s="111"/>
      <c r="HD178" s="111"/>
      <c r="HE178" s="111"/>
      <c r="HF178" s="111"/>
      <c r="HG178" s="111"/>
      <c r="HH178" s="111"/>
      <c r="HI178" s="111"/>
      <c r="HJ178" s="111"/>
      <c r="HK178" s="111"/>
      <c r="HL178" s="111"/>
      <c r="HM178" s="111"/>
      <c r="HN178" s="111"/>
      <c r="HO178" s="111"/>
      <c r="HP178" s="111"/>
      <c r="HQ178" s="111"/>
      <c r="HR178" s="111"/>
      <c r="HS178" s="111"/>
    </row>
    <row r="179" spans="1:227" ht="12">
      <c r="A179" s="74"/>
      <c r="B179" s="15" t="s">
        <v>195</v>
      </c>
      <c r="C179" s="15"/>
      <c r="D179" s="15"/>
      <c r="E179" s="15"/>
      <c r="F179" s="15"/>
      <c r="H179" s="120"/>
      <c r="I179" s="475"/>
      <c r="J179" s="477"/>
      <c r="K179" s="474"/>
      <c r="L179" s="474"/>
      <c r="AO179" s="111"/>
      <c r="AP179" s="111"/>
      <c r="AQ179" s="111"/>
      <c r="AR179" s="111"/>
      <c r="AS179" s="111"/>
      <c r="AT179" s="111"/>
      <c r="AU179" s="111"/>
      <c r="AV179" s="111"/>
      <c r="AW179" s="111"/>
      <c r="AX179" s="111"/>
      <c r="AY179" s="111"/>
      <c r="AZ179" s="111"/>
      <c r="BA179" s="111"/>
      <c r="BB179" s="111"/>
      <c r="BC179" s="111"/>
      <c r="BD179" s="111"/>
      <c r="BE179" s="111"/>
      <c r="BF179" s="111"/>
      <c r="BG179" s="111"/>
      <c r="BH179" s="111"/>
      <c r="BI179" s="111"/>
      <c r="BJ179" s="111"/>
      <c r="BK179" s="111"/>
      <c r="BL179" s="111"/>
      <c r="BM179" s="111"/>
      <c r="BN179" s="111"/>
      <c r="BO179" s="111"/>
      <c r="BP179" s="111"/>
      <c r="BQ179" s="111"/>
      <c r="BR179" s="111"/>
      <c r="BS179" s="111"/>
      <c r="BT179" s="111"/>
      <c r="BU179" s="111"/>
      <c r="BV179" s="111"/>
      <c r="BW179" s="111"/>
      <c r="BX179" s="111"/>
      <c r="BY179" s="111"/>
      <c r="BZ179" s="111"/>
      <c r="CA179" s="111"/>
      <c r="CB179" s="111"/>
      <c r="CC179" s="111"/>
      <c r="CD179" s="111"/>
      <c r="CE179" s="111"/>
      <c r="CF179" s="111"/>
      <c r="CG179" s="111"/>
      <c r="CH179" s="111"/>
      <c r="CI179" s="111"/>
      <c r="CJ179" s="111"/>
      <c r="CK179" s="111"/>
      <c r="CL179" s="111"/>
      <c r="CM179" s="111"/>
      <c r="CN179" s="111"/>
      <c r="CO179" s="111"/>
      <c r="CP179" s="111"/>
      <c r="CQ179" s="111"/>
      <c r="CR179" s="111"/>
      <c r="CS179" s="111"/>
      <c r="CT179" s="111"/>
      <c r="CU179" s="111"/>
      <c r="CV179" s="111"/>
      <c r="CW179" s="111"/>
      <c r="CX179" s="111"/>
      <c r="CY179" s="111"/>
      <c r="CZ179" s="111"/>
      <c r="DA179" s="111"/>
      <c r="DB179" s="111"/>
      <c r="DC179" s="111"/>
      <c r="DD179" s="111"/>
      <c r="DE179" s="111"/>
      <c r="DF179" s="111"/>
      <c r="DG179" s="111"/>
      <c r="DH179" s="111"/>
      <c r="DI179" s="111"/>
      <c r="DJ179" s="111"/>
      <c r="DK179" s="111"/>
      <c r="DL179" s="111"/>
      <c r="DM179" s="111"/>
      <c r="DN179" s="111"/>
      <c r="DO179" s="111"/>
      <c r="DP179" s="111"/>
      <c r="DQ179" s="111"/>
      <c r="DR179" s="111"/>
      <c r="DS179" s="111"/>
      <c r="DT179" s="111"/>
      <c r="DU179" s="111"/>
      <c r="DV179" s="111"/>
      <c r="DW179" s="111"/>
      <c r="DX179" s="111"/>
      <c r="DY179" s="111"/>
      <c r="DZ179" s="111"/>
      <c r="EA179" s="111"/>
      <c r="EB179" s="111"/>
      <c r="EC179" s="111"/>
      <c r="ED179" s="111"/>
      <c r="EE179" s="111"/>
      <c r="EF179" s="111"/>
      <c r="EG179" s="111"/>
      <c r="EH179" s="111"/>
      <c r="EI179" s="111"/>
      <c r="EJ179" s="111"/>
      <c r="EK179" s="111"/>
      <c r="EL179" s="111"/>
      <c r="EM179" s="111"/>
      <c r="EN179" s="111"/>
      <c r="EO179" s="111"/>
      <c r="EP179" s="111"/>
      <c r="EQ179" s="111"/>
      <c r="ER179" s="111"/>
      <c r="ES179" s="111"/>
      <c r="ET179" s="111"/>
      <c r="EU179" s="111"/>
      <c r="EV179" s="111"/>
      <c r="EW179" s="111"/>
      <c r="EX179" s="111"/>
      <c r="EY179" s="111"/>
      <c r="EZ179" s="111"/>
      <c r="FA179" s="111"/>
      <c r="FB179" s="111"/>
      <c r="FC179" s="111"/>
      <c r="FD179" s="111"/>
      <c r="FE179" s="111"/>
      <c r="FF179" s="111"/>
      <c r="FG179" s="111"/>
      <c r="FH179" s="111"/>
      <c r="FI179" s="111"/>
      <c r="FJ179" s="111"/>
      <c r="FK179" s="111"/>
      <c r="FL179" s="111"/>
      <c r="FM179" s="111"/>
      <c r="FN179" s="111"/>
      <c r="FO179" s="111"/>
      <c r="FP179" s="111"/>
      <c r="FQ179" s="111"/>
      <c r="FR179" s="111"/>
      <c r="FS179" s="111"/>
      <c r="FT179" s="111"/>
      <c r="FU179" s="111"/>
      <c r="FV179" s="111"/>
      <c r="FW179" s="111"/>
      <c r="FX179" s="111"/>
      <c r="FY179" s="111"/>
      <c r="FZ179" s="111"/>
      <c r="GA179" s="111"/>
      <c r="GB179" s="111"/>
      <c r="GC179" s="111"/>
      <c r="GD179" s="111"/>
      <c r="GE179" s="111"/>
      <c r="GF179" s="111"/>
      <c r="GG179" s="111"/>
      <c r="GH179" s="111"/>
      <c r="GI179" s="111"/>
      <c r="GJ179" s="111"/>
      <c r="GK179" s="111"/>
      <c r="GL179" s="111"/>
      <c r="GM179" s="111"/>
      <c r="GN179" s="111"/>
      <c r="GO179" s="111"/>
      <c r="GP179" s="111"/>
      <c r="GQ179" s="111"/>
      <c r="GR179" s="111"/>
      <c r="GS179" s="111"/>
      <c r="GT179" s="111"/>
      <c r="GU179" s="111"/>
      <c r="GV179" s="111"/>
      <c r="GW179" s="111"/>
      <c r="GX179" s="111"/>
      <c r="GY179" s="111"/>
      <c r="GZ179" s="111"/>
      <c r="HA179" s="111"/>
      <c r="HB179" s="111"/>
      <c r="HC179" s="111"/>
      <c r="HD179" s="111"/>
      <c r="HE179" s="111"/>
      <c r="HF179" s="111"/>
      <c r="HG179" s="111"/>
      <c r="HH179" s="111"/>
      <c r="HI179" s="111"/>
      <c r="HJ179" s="111"/>
      <c r="HK179" s="111"/>
      <c r="HL179" s="111"/>
      <c r="HM179" s="111"/>
      <c r="HN179" s="111"/>
      <c r="HO179" s="111"/>
      <c r="HP179" s="111"/>
      <c r="HQ179" s="111"/>
      <c r="HR179" s="111"/>
      <c r="HS179" s="111"/>
    </row>
    <row r="180" spans="1:227" ht="12">
      <c r="A180" s="337"/>
      <c r="H180" s="120"/>
      <c r="I180" s="475"/>
      <c r="J180" s="477"/>
      <c r="K180" s="474"/>
      <c r="L180" s="474"/>
      <c r="AO180" s="111"/>
      <c r="AP180" s="111"/>
      <c r="AQ180" s="111"/>
      <c r="AR180" s="111"/>
      <c r="AS180" s="111"/>
      <c r="AT180" s="111"/>
      <c r="AU180" s="111"/>
      <c r="AV180" s="111"/>
      <c r="AW180" s="111"/>
      <c r="AX180" s="111"/>
      <c r="AY180" s="111"/>
      <c r="AZ180" s="111"/>
      <c r="BA180" s="111"/>
      <c r="BB180" s="111"/>
      <c r="BC180" s="111"/>
      <c r="BD180" s="111"/>
      <c r="BE180" s="111"/>
      <c r="BF180" s="111"/>
      <c r="BG180" s="111"/>
      <c r="BH180" s="111"/>
      <c r="BI180" s="111"/>
      <c r="BJ180" s="111"/>
      <c r="BK180" s="111"/>
      <c r="BL180" s="111"/>
      <c r="BM180" s="111"/>
      <c r="BN180" s="111"/>
      <c r="BO180" s="111"/>
      <c r="BP180" s="111"/>
      <c r="BQ180" s="111"/>
      <c r="BR180" s="111"/>
      <c r="BS180" s="111"/>
      <c r="BT180" s="111"/>
      <c r="BU180" s="111"/>
      <c r="BV180" s="111"/>
      <c r="BW180" s="111"/>
      <c r="BX180" s="111"/>
      <c r="BY180" s="111"/>
      <c r="BZ180" s="111"/>
      <c r="CA180" s="111"/>
      <c r="CB180" s="111"/>
      <c r="CC180" s="111"/>
      <c r="CD180" s="111"/>
      <c r="CE180" s="111"/>
      <c r="CF180" s="111"/>
      <c r="CG180" s="111"/>
      <c r="CH180" s="111"/>
      <c r="CI180" s="111"/>
      <c r="CJ180" s="111"/>
      <c r="CK180" s="111"/>
      <c r="CL180" s="111"/>
      <c r="CM180" s="111"/>
      <c r="CN180" s="111"/>
      <c r="CO180" s="111"/>
      <c r="CP180" s="111"/>
      <c r="CQ180" s="111"/>
      <c r="CR180" s="111"/>
      <c r="CS180" s="111"/>
      <c r="CT180" s="111"/>
      <c r="CU180" s="111"/>
      <c r="CV180" s="111"/>
      <c r="CW180" s="111"/>
      <c r="CX180" s="111"/>
      <c r="CY180" s="111"/>
      <c r="CZ180" s="111"/>
      <c r="DA180" s="111"/>
      <c r="DB180" s="111"/>
      <c r="DC180" s="111"/>
      <c r="DD180" s="111"/>
      <c r="DE180" s="111"/>
      <c r="DF180" s="111"/>
      <c r="DG180" s="111"/>
      <c r="DH180" s="111"/>
      <c r="DI180" s="111"/>
      <c r="DJ180" s="111"/>
      <c r="DK180" s="111"/>
      <c r="DL180" s="111"/>
      <c r="DM180" s="111"/>
      <c r="DN180" s="111"/>
      <c r="DO180" s="111"/>
      <c r="DP180" s="111"/>
      <c r="DQ180" s="111"/>
      <c r="DR180" s="111"/>
      <c r="DS180" s="111"/>
      <c r="DT180" s="111"/>
      <c r="DU180" s="111"/>
      <c r="DV180" s="111"/>
      <c r="DW180" s="111"/>
      <c r="DX180" s="111"/>
      <c r="DY180" s="111"/>
      <c r="DZ180" s="111"/>
      <c r="EA180" s="111"/>
      <c r="EB180" s="111"/>
      <c r="EC180" s="111"/>
      <c r="ED180" s="111"/>
      <c r="EE180" s="111"/>
      <c r="EF180" s="111"/>
      <c r="EG180" s="111"/>
      <c r="EH180" s="111"/>
      <c r="EI180" s="111"/>
      <c r="EJ180" s="111"/>
      <c r="EK180" s="111"/>
      <c r="EL180" s="111"/>
      <c r="EM180" s="111"/>
      <c r="EN180" s="111"/>
      <c r="EO180" s="111"/>
      <c r="EP180" s="111"/>
      <c r="EQ180" s="111"/>
      <c r="ER180" s="111"/>
      <c r="ES180" s="111"/>
      <c r="ET180" s="111"/>
      <c r="EU180" s="111"/>
      <c r="EV180" s="111"/>
      <c r="EW180" s="111"/>
      <c r="EX180" s="111"/>
      <c r="EY180" s="111"/>
      <c r="EZ180" s="111"/>
      <c r="FA180" s="111"/>
      <c r="FB180" s="111"/>
      <c r="FC180" s="111"/>
      <c r="FD180" s="111"/>
      <c r="FE180" s="111"/>
      <c r="FF180" s="111"/>
      <c r="FG180" s="111"/>
      <c r="FH180" s="111"/>
      <c r="FI180" s="111"/>
      <c r="FJ180" s="111"/>
      <c r="FK180" s="111"/>
      <c r="FL180" s="111"/>
      <c r="FM180" s="111"/>
      <c r="FN180" s="111"/>
      <c r="FO180" s="111"/>
      <c r="FP180" s="111"/>
      <c r="FQ180" s="111"/>
      <c r="FR180" s="111"/>
      <c r="FS180" s="111"/>
      <c r="FT180" s="111"/>
      <c r="FU180" s="111"/>
      <c r="FV180" s="111"/>
      <c r="FW180" s="111"/>
      <c r="FX180" s="111"/>
      <c r="FY180" s="111"/>
      <c r="FZ180" s="111"/>
      <c r="GA180" s="111"/>
      <c r="GB180" s="111"/>
      <c r="GC180" s="111"/>
      <c r="GD180" s="111"/>
      <c r="GE180" s="111"/>
      <c r="GF180" s="111"/>
      <c r="GG180" s="111"/>
      <c r="GH180" s="111"/>
      <c r="GI180" s="111"/>
      <c r="GJ180" s="111"/>
      <c r="GK180" s="111"/>
      <c r="GL180" s="111"/>
      <c r="GM180" s="111"/>
      <c r="GN180" s="111"/>
      <c r="GO180" s="111"/>
      <c r="GP180" s="111"/>
      <c r="GQ180" s="111"/>
      <c r="GR180" s="111"/>
      <c r="GS180" s="111"/>
      <c r="GT180" s="111"/>
      <c r="GU180" s="111"/>
      <c r="GV180" s="111"/>
      <c r="GW180" s="111"/>
      <c r="GX180" s="111"/>
      <c r="GY180" s="111"/>
      <c r="GZ180" s="111"/>
      <c r="HA180" s="111"/>
      <c r="HB180" s="111"/>
      <c r="HC180" s="111"/>
      <c r="HD180" s="111"/>
      <c r="HE180" s="111"/>
      <c r="HF180" s="111"/>
      <c r="HG180" s="111"/>
      <c r="HH180" s="111"/>
      <c r="HI180" s="111"/>
      <c r="HJ180" s="111"/>
      <c r="HK180" s="111"/>
      <c r="HL180" s="111"/>
      <c r="HM180" s="111"/>
      <c r="HN180" s="111"/>
      <c r="HO180" s="111"/>
      <c r="HP180" s="111"/>
      <c r="HQ180" s="111"/>
      <c r="HR180" s="111"/>
      <c r="HS180" s="111"/>
    </row>
    <row r="181" spans="1:227" ht="12">
      <c r="A181" s="96" t="s">
        <v>284</v>
      </c>
      <c r="B181" s="86" t="s">
        <v>202</v>
      </c>
      <c r="C181" s="86"/>
      <c r="D181" s="86"/>
      <c r="E181" s="86"/>
      <c r="F181" s="86"/>
      <c r="G181" s="234"/>
      <c r="H181" s="120"/>
      <c r="I181" s="475"/>
      <c r="J181" s="477"/>
      <c r="K181" s="474"/>
      <c r="L181" s="474"/>
      <c r="AO181" s="111"/>
      <c r="AP181" s="111"/>
      <c r="AQ181" s="111"/>
      <c r="AR181" s="111"/>
      <c r="AS181" s="111"/>
      <c r="AT181" s="111"/>
      <c r="AU181" s="111"/>
      <c r="AV181" s="111"/>
      <c r="AW181" s="111"/>
      <c r="AX181" s="111"/>
      <c r="AY181" s="111"/>
      <c r="AZ181" s="111"/>
      <c r="BA181" s="111"/>
      <c r="BB181" s="111"/>
      <c r="BC181" s="111"/>
      <c r="BD181" s="111"/>
      <c r="BE181" s="111"/>
      <c r="BF181" s="111"/>
      <c r="BG181" s="111"/>
      <c r="BH181" s="111"/>
      <c r="BI181" s="111"/>
      <c r="BJ181" s="111"/>
      <c r="BK181" s="111"/>
      <c r="BL181" s="111"/>
      <c r="BM181" s="111"/>
      <c r="BN181" s="111"/>
      <c r="BO181" s="111"/>
      <c r="BP181" s="111"/>
      <c r="BQ181" s="111"/>
      <c r="BR181" s="111"/>
      <c r="BS181" s="111"/>
      <c r="BT181" s="111"/>
      <c r="BU181" s="111"/>
      <c r="BV181" s="111"/>
      <c r="BW181" s="111"/>
      <c r="BX181" s="111"/>
      <c r="BY181" s="111"/>
      <c r="BZ181" s="111"/>
      <c r="CA181" s="111"/>
      <c r="CB181" s="111"/>
      <c r="CC181" s="111"/>
      <c r="CD181" s="111"/>
      <c r="CE181" s="111"/>
      <c r="CF181" s="111"/>
      <c r="CG181" s="111"/>
      <c r="CH181" s="111"/>
      <c r="CI181" s="111"/>
      <c r="CJ181" s="111"/>
      <c r="CK181" s="111"/>
      <c r="CL181" s="111"/>
      <c r="CM181" s="111"/>
      <c r="CN181" s="111"/>
      <c r="CO181" s="111"/>
      <c r="CP181" s="111"/>
      <c r="CQ181" s="111"/>
      <c r="CR181" s="111"/>
      <c r="CS181" s="111"/>
      <c r="CT181" s="111"/>
      <c r="CU181" s="111"/>
      <c r="CV181" s="111"/>
      <c r="CW181" s="111"/>
      <c r="CX181" s="111"/>
      <c r="CY181" s="111"/>
      <c r="CZ181" s="111"/>
      <c r="DA181" s="111"/>
      <c r="DB181" s="111"/>
      <c r="DC181" s="111"/>
      <c r="DD181" s="111"/>
      <c r="DE181" s="111"/>
      <c r="DF181" s="111"/>
      <c r="DG181" s="111"/>
      <c r="DH181" s="111"/>
      <c r="DI181" s="111"/>
      <c r="DJ181" s="111"/>
      <c r="DK181" s="111"/>
      <c r="DL181" s="111"/>
      <c r="DM181" s="111"/>
      <c r="DN181" s="111"/>
      <c r="DO181" s="111"/>
      <c r="DP181" s="111"/>
      <c r="DQ181" s="111"/>
      <c r="DR181" s="111"/>
      <c r="DS181" s="111"/>
      <c r="DT181" s="111"/>
      <c r="DU181" s="111"/>
      <c r="DV181" s="111"/>
      <c r="DW181" s="111"/>
      <c r="DX181" s="111"/>
      <c r="DY181" s="111"/>
      <c r="DZ181" s="111"/>
      <c r="EA181" s="111"/>
      <c r="EB181" s="111"/>
      <c r="EC181" s="111"/>
      <c r="ED181" s="111"/>
      <c r="EE181" s="111"/>
      <c r="EF181" s="111"/>
      <c r="EG181" s="111"/>
      <c r="EH181" s="111"/>
      <c r="EI181" s="111"/>
      <c r="EJ181" s="111"/>
      <c r="EK181" s="111"/>
      <c r="EL181" s="111"/>
      <c r="EM181" s="111"/>
      <c r="EN181" s="111"/>
      <c r="EO181" s="111"/>
      <c r="EP181" s="111"/>
      <c r="EQ181" s="111"/>
      <c r="ER181" s="111"/>
      <c r="ES181" s="111"/>
      <c r="ET181" s="111"/>
      <c r="EU181" s="111"/>
      <c r="EV181" s="111"/>
      <c r="EW181" s="111"/>
      <c r="EX181" s="111"/>
      <c r="EY181" s="111"/>
      <c r="EZ181" s="111"/>
      <c r="FA181" s="111"/>
      <c r="FB181" s="111"/>
      <c r="FC181" s="111"/>
      <c r="FD181" s="111"/>
      <c r="FE181" s="111"/>
      <c r="FF181" s="111"/>
      <c r="FG181" s="111"/>
      <c r="FH181" s="111"/>
      <c r="FI181" s="111"/>
      <c r="FJ181" s="111"/>
      <c r="FK181" s="111"/>
      <c r="FL181" s="111"/>
      <c r="FM181" s="111"/>
      <c r="FN181" s="111"/>
      <c r="FO181" s="111"/>
      <c r="FP181" s="111"/>
      <c r="FQ181" s="111"/>
      <c r="FR181" s="111"/>
      <c r="FS181" s="111"/>
      <c r="FT181" s="111"/>
      <c r="FU181" s="111"/>
      <c r="FV181" s="111"/>
      <c r="FW181" s="111"/>
      <c r="FX181" s="111"/>
      <c r="FY181" s="111"/>
      <c r="FZ181" s="111"/>
      <c r="GA181" s="111"/>
      <c r="GB181" s="111"/>
      <c r="GC181" s="111"/>
      <c r="GD181" s="111"/>
      <c r="GE181" s="111"/>
      <c r="GF181" s="111"/>
      <c r="GG181" s="111"/>
      <c r="GH181" s="111"/>
      <c r="GI181" s="111"/>
      <c r="GJ181" s="111"/>
      <c r="GK181" s="111"/>
      <c r="GL181" s="111"/>
      <c r="GM181" s="111"/>
      <c r="GN181" s="111"/>
      <c r="GO181" s="111"/>
      <c r="GP181" s="111"/>
      <c r="GQ181" s="111"/>
      <c r="GR181" s="111"/>
      <c r="GS181" s="111"/>
      <c r="GT181" s="111"/>
      <c r="GU181" s="111"/>
      <c r="GV181" s="111"/>
      <c r="GW181" s="111"/>
      <c r="GX181" s="111"/>
      <c r="GY181" s="111"/>
      <c r="GZ181" s="111"/>
      <c r="HA181" s="111"/>
      <c r="HB181" s="111"/>
      <c r="HC181" s="111"/>
      <c r="HD181" s="111"/>
      <c r="HE181" s="111"/>
      <c r="HF181" s="111"/>
      <c r="HG181" s="111"/>
      <c r="HH181" s="111"/>
      <c r="HI181" s="111"/>
      <c r="HJ181" s="111"/>
      <c r="HK181" s="111"/>
      <c r="HL181" s="111"/>
      <c r="HM181" s="111"/>
      <c r="HN181" s="111"/>
      <c r="HO181" s="111"/>
      <c r="HP181" s="111"/>
      <c r="HQ181" s="111"/>
      <c r="HR181" s="111"/>
      <c r="HS181" s="111"/>
    </row>
    <row r="182" spans="1:227" ht="12">
      <c r="A182" s="90" t="s">
        <v>285</v>
      </c>
      <c r="B182" s="15"/>
      <c r="C182" s="15" t="s">
        <v>30</v>
      </c>
      <c r="D182" s="15"/>
      <c r="E182" s="15"/>
      <c r="F182" s="15"/>
      <c r="H182" s="127" t="s">
        <v>456</v>
      </c>
      <c r="I182" s="475"/>
      <c r="J182" s="477"/>
      <c r="K182" s="474"/>
      <c r="L182" s="474"/>
      <c r="AO182" s="111"/>
      <c r="AP182" s="111"/>
      <c r="AQ182" s="111"/>
      <c r="AR182" s="111"/>
      <c r="AS182" s="111"/>
      <c r="AT182" s="111"/>
      <c r="AU182" s="111"/>
      <c r="AV182" s="111"/>
      <c r="AW182" s="111"/>
      <c r="AX182" s="111"/>
      <c r="AY182" s="111"/>
      <c r="AZ182" s="111"/>
      <c r="BA182" s="111"/>
      <c r="BB182" s="111"/>
      <c r="BC182" s="111"/>
      <c r="BD182" s="111"/>
      <c r="BE182" s="111"/>
      <c r="BF182" s="111"/>
      <c r="BG182" s="111"/>
      <c r="BH182" s="111"/>
      <c r="BI182" s="111"/>
      <c r="BJ182" s="111"/>
      <c r="BK182" s="111"/>
      <c r="BL182" s="111"/>
      <c r="BM182" s="111"/>
      <c r="BN182" s="111"/>
      <c r="BO182" s="111"/>
      <c r="BP182" s="111"/>
      <c r="BQ182" s="111"/>
      <c r="BR182" s="111"/>
      <c r="BS182" s="111"/>
      <c r="BT182" s="111"/>
      <c r="BU182" s="111"/>
      <c r="BV182" s="111"/>
      <c r="BW182" s="111"/>
      <c r="BX182" s="111"/>
      <c r="BY182" s="111"/>
      <c r="BZ182" s="111"/>
      <c r="CA182" s="111"/>
      <c r="CB182" s="111"/>
      <c r="CC182" s="111"/>
      <c r="CD182" s="111"/>
      <c r="CE182" s="111"/>
      <c r="CF182" s="111"/>
      <c r="CG182" s="111"/>
      <c r="CH182" s="111"/>
      <c r="CI182" s="111"/>
      <c r="CJ182" s="111"/>
      <c r="CK182" s="111"/>
      <c r="CL182" s="111"/>
      <c r="CM182" s="111"/>
      <c r="CN182" s="111"/>
      <c r="CO182" s="111"/>
      <c r="CP182" s="111"/>
      <c r="CQ182" s="111"/>
      <c r="CR182" s="111"/>
      <c r="CS182" s="111"/>
      <c r="CT182" s="111"/>
      <c r="CU182" s="111"/>
      <c r="CV182" s="111"/>
      <c r="CW182" s="111"/>
      <c r="CX182" s="111"/>
      <c r="CY182" s="111"/>
      <c r="CZ182" s="111"/>
      <c r="DA182" s="111"/>
      <c r="DB182" s="111"/>
      <c r="DC182" s="111"/>
      <c r="DD182" s="111"/>
      <c r="DE182" s="111"/>
      <c r="DF182" s="111"/>
      <c r="DG182" s="111"/>
      <c r="DH182" s="111"/>
      <c r="DI182" s="111"/>
      <c r="DJ182" s="111"/>
      <c r="DK182" s="111"/>
      <c r="DL182" s="111"/>
      <c r="DM182" s="111"/>
      <c r="DN182" s="111"/>
      <c r="DO182" s="111"/>
      <c r="DP182" s="111"/>
      <c r="DQ182" s="111"/>
      <c r="DR182" s="111"/>
      <c r="DS182" s="111"/>
      <c r="DT182" s="111"/>
      <c r="DU182" s="111"/>
      <c r="DV182" s="111"/>
      <c r="DW182" s="111"/>
      <c r="DX182" s="111"/>
      <c r="DY182" s="111"/>
      <c r="DZ182" s="111"/>
      <c r="EA182" s="111"/>
      <c r="EB182" s="111"/>
      <c r="EC182" s="111"/>
      <c r="ED182" s="111"/>
      <c r="EE182" s="111"/>
      <c r="EF182" s="111"/>
      <c r="EG182" s="111"/>
      <c r="EH182" s="111"/>
      <c r="EI182" s="111"/>
      <c r="EJ182" s="111"/>
      <c r="EK182" s="111"/>
      <c r="EL182" s="111"/>
      <c r="EM182" s="111"/>
      <c r="EN182" s="111"/>
      <c r="EO182" s="111"/>
      <c r="EP182" s="111"/>
      <c r="EQ182" s="111"/>
      <c r="ER182" s="111"/>
      <c r="ES182" s="111"/>
      <c r="ET182" s="111"/>
      <c r="EU182" s="111"/>
      <c r="EV182" s="111"/>
      <c r="EW182" s="111"/>
      <c r="EX182" s="111"/>
      <c r="EY182" s="111"/>
      <c r="EZ182" s="111"/>
      <c r="FA182" s="111"/>
      <c r="FB182" s="111"/>
      <c r="FC182" s="111"/>
      <c r="FD182" s="111"/>
      <c r="FE182" s="111"/>
      <c r="FF182" s="111"/>
      <c r="FG182" s="111"/>
      <c r="FH182" s="111"/>
      <c r="FI182" s="111"/>
      <c r="FJ182" s="111"/>
      <c r="FK182" s="111"/>
      <c r="FL182" s="111"/>
      <c r="FM182" s="111"/>
      <c r="FN182" s="111"/>
      <c r="FO182" s="111"/>
      <c r="FP182" s="111"/>
      <c r="FQ182" s="111"/>
      <c r="FR182" s="111"/>
      <c r="FS182" s="111"/>
      <c r="FT182" s="111"/>
      <c r="FU182" s="111"/>
      <c r="FV182" s="111"/>
      <c r="FW182" s="111"/>
      <c r="FX182" s="111"/>
      <c r="FY182" s="111"/>
      <c r="FZ182" s="111"/>
      <c r="GA182" s="111"/>
      <c r="GB182" s="111"/>
      <c r="GC182" s="111"/>
      <c r="GD182" s="111"/>
      <c r="GE182" s="111"/>
      <c r="GF182" s="111"/>
      <c r="GG182" s="111"/>
      <c r="GH182" s="111"/>
      <c r="GI182" s="111"/>
      <c r="GJ182" s="111"/>
      <c r="GK182" s="111"/>
      <c r="GL182" s="111"/>
      <c r="GM182" s="111"/>
      <c r="GN182" s="111"/>
      <c r="GO182" s="111"/>
      <c r="GP182" s="111"/>
      <c r="GQ182" s="111"/>
      <c r="GR182" s="111"/>
      <c r="GS182" s="111"/>
      <c r="GT182" s="111"/>
      <c r="GU182" s="111"/>
      <c r="GV182" s="111"/>
      <c r="GW182" s="111"/>
      <c r="GX182" s="111"/>
      <c r="GY182" s="111"/>
      <c r="GZ182" s="111"/>
      <c r="HA182" s="111"/>
      <c r="HB182" s="111"/>
      <c r="HC182" s="111"/>
      <c r="HD182" s="111"/>
      <c r="HE182" s="111"/>
      <c r="HF182" s="111"/>
      <c r="HG182" s="111"/>
      <c r="HH182" s="111"/>
      <c r="HI182" s="111"/>
      <c r="HJ182" s="111"/>
      <c r="HK182" s="111"/>
      <c r="HL182" s="111"/>
      <c r="HM182" s="111"/>
      <c r="HN182" s="111"/>
      <c r="HO182" s="111"/>
      <c r="HP182" s="111"/>
      <c r="HQ182" s="111"/>
      <c r="HR182" s="111"/>
      <c r="HS182" s="111"/>
    </row>
    <row r="183" spans="1:227" ht="12">
      <c r="A183" s="96"/>
      <c r="B183" s="15"/>
      <c r="C183" s="15" t="s">
        <v>10</v>
      </c>
      <c r="D183" s="15"/>
      <c r="E183" s="15"/>
      <c r="F183" s="15"/>
      <c r="H183" s="136" t="s">
        <v>429</v>
      </c>
      <c r="I183" s="475"/>
      <c r="J183" s="474"/>
      <c r="K183" s="474"/>
      <c r="L183" s="474"/>
      <c r="AO183" s="111"/>
      <c r="AP183" s="111"/>
      <c r="AQ183" s="111"/>
      <c r="AR183" s="111"/>
      <c r="AS183" s="111"/>
      <c r="AT183" s="111"/>
      <c r="AU183" s="111"/>
      <c r="AV183" s="111"/>
      <c r="AW183" s="111"/>
      <c r="AX183" s="111"/>
      <c r="AY183" s="111"/>
      <c r="AZ183" s="111"/>
      <c r="BA183" s="111"/>
      <c r="BB183" s="111"/>
      <c r="BC183" s="111"/>
      <c r="BD183" s="111"/>
      <c r="BE183" s="111"/>
      <c r="BF183" s="111"/>
      <c r="BG183" s="111"/>
      <c r="BH183" s="111"/>
      <c r="BI183" s="111"/>
      <c r="BJ183" s="111"/>
      <c r="BK183" s="111"/>
      <c r="BL183" s="111"/>
      <c r="BM183" s="111"/>
      <c r="BN183" s="111"/>
      <c r="BO183" s="111"/>
      <c r="BP183" s="111"/>
      <c r="BQ183" s="111"/>
      <c r="BR183" s="111"/>
      <c r="BS183" s="111"/>
      <c r="BT183" s="111"/>
      <c r="BU183" s="111"/>
      <c r="BV183" s="111"/>
      <c r="BW183" s="111"/>
      <c r="BX183" s="111"/>
      <c r="BY183" s="111"/>
      <c r="BZ183" s="111"/>
      <c r="CA183" s="111"/>
      <c r="CB183" s="111"/>
      <c r="CC183" s="111"/>
      <c r="CD183" s="111"/>
      <c r="CE183" s="111"/>
      <c r="CF183" s="111"/>
      <c r="CG183" s="111"/>
      <c r="CH183" s="111"/>
      <c r="CI183" s="111"/>
      <c r="CJ183" s="111"/>
      <c r="CK183" s="111"/>
      <c r="CL183" s="111"/>
      <c r="CM183" s="111"/>
      <c r="CN183" s="111"/>
      <c r="CO183" s="111"/>
      <c r="CP183" s="111"/>
      <c r="CQ183" s="111"/>
      <c r="CR183" s="111"/>
      <c r="CS183" s="111"/>
      <c r="CT183" s="111"/>
      <c r="CU183" s="111"/>
      <c r="CV183" s="111"/>
      <c r="CW183" s="111"/>
      <c r="CX183" s="111"/>
      <c r="CY183" s="111"/>
      <c r="CZ183" s="111"/>
      <c r="DA183" s="111"/>
      <c r="DB183" s="111"/>
      <c r="DC183" s="111"/>
      <c r="DD183" s="111"/>
      <c r="DE183" s="111"/>
      <c r="DF183" s="111"/>
      <c r="DG183" s="111"/>
      <c r="DH183" s="111"/>
      <c r="DI183" s="111"/>
      <c r="DJ183" s="111"/>
      <c r="DK183" s="111"/>
      <c r="DL183" s="111"/>
      <c r="DM183" s="111"/>
      <c r="DN183" s="111"/>
      <c r="DO183" s="111"/>
      <c r="DP183" s="111"/>
      <c r="DQ183" s="111"/>
      <c r="DR183" s="111"/>
      <c r="DS183" s="111"/>
      <c r="DT183" s="111"/>
      <c r="DU183" s="111"/>
      <c r="DV183" s="111"/>
      <c r="DW183" s="111"/>
      <c r="DX183" s="111"/>
      <c r="DY183" s="111"/>
      <c r="DZ183" s="111"/>
      <c r="EA183" s="111"/>
      <c r="EB183" s="111"/>
      <c r="EC183" s="111"/>
      <c r="ED183" s="111"/>
      <c r="EE183" s="111"/>
      <c r="EF183" s="111"/>
      <c r="EG183" s="111"/>
      <c r="EH183" s="111"/>
      <c r="EI183" s="111"/>
      <c r="EJ183" s="111"/>
      <c r="EK183" s="111"/>
      <c r="EL183" s="111"/>
      <c r="EM183" s="111"/>
      <c r="EN183" s="111"/>
      <c r="EO183" s="111"/>
      <c r="EP183" s="111"/>
      <c r="EQ183" s="111"/>
      <c r="ER183" s="111"/>
      <c r="ES183" s="111"/>
      <c r="ET183" s="111"/>
      <c r="EU183" s="111"/>
      <c r="EV183" s="111"/>
      <c r="EW183" s="111"/>
      <c r="EX183" s="111"/>
      <c r="EY183" s="111"/>
      <c r="EZ183" s="111"/>
      <c r="FA183" s="111"/>
      <c r="FB183" s="111"/>
      <c r="FC183" s="111"/>
      <c r="FD183" s="111"/>
      <c r="FE183" s="111"/>
      <c r="FF183" s="111"/>
      <c r="FG183" s="111"/>
      <c r="FH183" s="111"/>
      <c r="FI183" s="111"/>
      <c r="FJ183" s="111"/>
      <c r="FK183" s="111"/>
      <c r="FL183" s="111"/>
      <c r="FM183" s="111"/>
      <c r="FN183" s="111"/>
      <c r="FO183" s="111"/>
      <c r="FP183" s="111"/>
      <c r="FQ183" s="111"/>
      <c r="FR183" s="111"/>
      <c r="FS183" s="111"/>
      <c r="FT183" s="111"/>
      <c r="FU183" s="111"/>
      <c r="FV183" s="111"/>
      <c r="FW183" s="111"/>
      <c r="FX183" s="111"/>
      <c r="FY183" s="111"/>
      <c r="FZ183" s="111"/>
      <c r="GA183" s="111"/>
      <c r="GB183" s="111"/>
      <c r="GC183" s="111"/>
      <c r="GD183" s="111"/>
      <c r="GE183" s="111"/>
      <c r="GF183" s="111"/>
      <c r="GG183" s="111"/>
      <c r="GH183" s="111"/>
      <c r="GI183" s="111"/>
      <c r="GJ183" s="111"/>
      <c r="GK183" s="111"/>
      <c r="GL183" s="111"/>
      <c r="GM183" s="111"/>
      <c r="GN183" s="111"/>
      <c r="GO183" s="111"/>
      <c r="GP183" s="111"/>
      <c r="GQ183" s="111"/>
      <c r="GR183" s="111"/>
      <c r="GS183" s="111"/>
      <c r="GT183" s="111"/>
      <c r="GU183" s="111"/>
      <c r="GV183" s="111"/>
      <c r="GW183" s="111"/>
      <c r="GX183" s="111"/>
      <c r="GY183" s="111"/>
      <c r="GZ183" s="111"/>
      <c r="HA183" s="111"/>
      <c r="HB183" s="111"/>
      <c r="HC183" s="111"/>
      <c r="HD183" s="111"/>
      <c r="HE183" s="111"/>
      <c r="HF183" s="111"/>
      <c r="HG183" s="111"/>
      <c r="HH183" s="111"/>
      <c r="HI183" s="111"/>
      <c r="HJ183" s="111"/>
      <c r="HK183" s="111"/>
      <c r="HL183" s="111"/>
      <c r="HM183" s="111"/>
      <c r="HN183" s="111"/>
      <c r="HO183" s="111"/>
      <c r="HP183" s="111"/>
      <c r="HQ183" s="111"/>
      <c r="HR183" s="111"/>
      <c r="HS183" s="111"/>
    </row>
    <row r="184" spans="1:227" ht="60">
      <c r="A184" s="96" t="s">
        <v>286</v>
      </c>
      <c r="B184" s="15"/>
      <c r="C184" s="15"/>
      <c r="D184" s="15" t="s">
        <v>11</v>
      </c>
      <c r="E184" s="15"/>
      <c r="F184" s="15"/>
      <c r="H184" s="127" t="s">
        <v>457</v>
      </c>
      <c r="I184" s="475"/>
      <c r="J184" s="127" t="s">
        <v>502</v>
      </c>
      <c r="K184" s="474"/>
      <c r="L184" s="474"/>
      <c r="AO184" s="111"/>
      <c r="AP184" s="111"/>
      <c r="AQ184" s="111"/>
      <c r="AR184" s="111"/>
      <c r="AS184" s="111"/>
      <c r="AT184" s="111"/>
      <c r="AU184" s="111"/>
      <c r="AV184" s="111"/>
      <c r="AW184" s="111"/>
      <c r="AX184" s="111"/>
      <c r="AY184" s="111"/>
      <c r="AZ184" s="111"/>
      <c r="BA184" s="111"/>
      <c r="BB184" s="111"/>
      <c r="BC184" s="111"/>
      <c r="BD184" s="111"/>
      <c r="BE184" s="111"/>
      <c r="BF184" s="111"/>
      <c r="BG184" s="111"/>
      <c r="BH184" s="111"/>
      <c r="BI184" s="111"/>
      <c r="BJ184" s="111"/>
      <c r="BK184" s="111"/>
      <c r="BL184" s="111"/>
      <c r="BM184" s="111"/>
      <c r="BN184" s="111"/>
      <c r="BO184" s="111"/>
      <c r="BP184" s="111"/>
      <c r="BQ184" s="111"/>
      <c r="BR184" s="111"/>
      <c r="BS184" s="111"/>
      <c r="BT184" s="111"/>
      <c r="BU184" s="111"/>
      <c r="BV184" s="111"/>
      <c r="BW184" s="111"/>
      <c r="BX184" s="111"/>
      <c r="BY184" s="111"/>
      <c r="BZ184" s="111"/>
      <c r="CA184" s="111"/>
      <c r="CB184" s="111"/>
      <c r="CC184" s="111"/>
      <c r="CD184" s="111"/>
      <c r="CE184" s="111"/>
      <c r="CF184" s="111"/>
      <c r="CG184" s="111"/>
      <c r="CH184" s="111"/>
      <c r="CI184" s="111"/>
      <c r="CJ184" s="111"/>
      <c r="CK184" s="111"/>
      <c r="CL184" s="111"/>
      <c r="CM184" s="111"/>
      <c r="CN184" s="111"/>
      <c r="CO184" s="111"/>
      <c r="CP184" s="111"/>
      <c r="CQ184" s="111"/>
      <c r="CR184" s="111"/>
      <c r="CS184" s="111"/>
      <c r="CT184" s="111"/>
      <c r="CU184" s="111"/>
      <c r="CV184" s="111"/>
      <c r="CW184" s="111"/>
      <c r="CX184" s="111"/>
      <c r="CY184" s="111"/>
      <c r="CZ184" s="111"/>
      <c r="DA184" s="111"/>
      <c r="DB184" s="111"/>
      <c r="DC184" s="111"/>
      <c r="DD184" s="111"/>
      <c r="DE184" s="111"/>
      <c r="DF184" s="111"/>
      <c r="DG184" s="111"/>
      <c r="DH184" s="111"/>
      <c r="DI184" s="111"/>
      <c r="DJ184" s="111"/>
      <c r="DK184" s="111"/>
      <c r="DL184" s="111"/>
      <c r="DM184" s="111"/>
      <c r="DN184" s="111"/>
      <c r="DO184" s="111"/>
      <c r="DP184" s="111"/>
      <c r="DQ184" s="111"/>
      <c r="DR184" s="111"/>
      <c r="DS184" s="111"/>
      <c r="DT184" s="111"/>
      <c r="DU184" s="111"/>
      <c r="DV184" s="111"/>
      <c r="DW184" s="111"/>
      <c r="DX184" s="111"/>
      <c r="DY184" s="111"/>
      <c r="DZ184" s="111"/>
      <c r="EA184" s="111"/>
      <c r="EB184" s="111"/>
      <c r="EC184" s="111"/>
      <c r="ED184" s="111"/>
      <c r="EE184" s="111"/>
      <c r="EF184" s="111"/>
      <c r="EG184" s="111"/>
      <c r="EH184" s="111"/>
      <c r="EI184" s="111"/>
      <c r="EJ184" s="111"/>
      <c r="EK184" s="111"/>
      <c r="EL184" s="111"/>
      <c r="EM184" s="111"/>
      <c r="EN184" s="111"/>
      <c r="EO184" s="111"/>
      <c r="EP184" s="111"/>
      <c r="EQ184" s="111"/>
      <c r="ER184" s="111"/>
      <c r="ES184" s="111"/>
      <c r="ET184" s="111"/>
      <c r="EU184" s="111"/>
      <c r="EV184" s="111"/>
      <c r="EW184" s="111"/>
      <c r="EX184" s="111"/>
      <c r="EY184" s="111"/>
      <c r="EZ184" s="111"/>
      <c r="FA184" s="111"/>
      <c r="FB184" s="111"/>
      <c r="FC184" s="111"/>
      <c r="FD184" s="111"/>
      <c r="FE184" s="111"/>
      <c r="FF184" s="111"/>
      <c r="FG184" s="111"/>
      <c r="FH184" s="111"/>
      <c r="FI184" s="111"/>
      <c r="FJ184" s="111"/>
      <c r="FK184" s="111"/>
      <c r="FL184" s="111"/>
      <c r="FM184" s="111"/>
      <c r="FN184" s="111"/>
      <c r="FO184" s="111"/>
      <c r="FP184" s="111"/>
      <c r="FQ184" s="111"/>
      <c r="FR184" s="111"/>
      <c r="FS184" s="111"/>
      <c r="FT184" s="111"/>
      <c r="FU184" s="111"/>
      <c r="FV184" s="111"/>
      <c r="FW184" s="111"/>
      <c r="FX184" s="111"/>
      <c r="FY184" s="111"/>
      <c r="FZ184" s="111"/>
      <c r="GA184" s="111"/>
      <c r="GB184" s="111"/>
      <c r="GC184" s="111"/>
      <c r="GD184" s="111"/>
      <c r="GE184" s="111"/>
      <c r="GF184" s="111"/>
      <c r="GG184" s="111"/>
      <c r="GH184" s="111"/>
      <c r="GI184" s="111"/>
      <c r="GJ184" s="111"/>
      <c r="GK184" s="111"/>
      <c r="GL184" s="111"/>
      <c r="GM184" s="111"/>
      <c r="GN184" s="111"/>
      <c r="GO184" s="111"/>
      <c r="GP184" s="111"/>
      <c r="GQ184" s="111"/>
      <c r="GR184" s="111"/>
      <c r="GS184" s="111"/>
      <c r="GT184" s="111"/>
      <c r="GU184" s="111"/>
      <c r="GV184" s="111"/>
      <c r="GW184" s="111"/>
      <c r="GX184" s="111"/>
      <c r="GY184" s="111"/>
      <c r="GZ184" s="111"/>
      <c r="HA184" s="111"/>
      <c r="HB184" s="111"/>
      <c r="HC184" s="111"/>
      <c r="HD184" s="111"/>
      <c r="HE184" s="111"/>
      <c r="HF184" s="111"/>
      <c r="HG184" s="111"/>
      <c r="HH184" s="111"/>
      <c r="HI184" s="111"/>
      <c r="HJ184" s="111"/>
      <c r="HK184" s="111"/>
      <c r="HL184" s="111"/>
      <c r="HM184" s="111"/>
      <c r="HN184" s="111"/>
      <c r="HO184" s="111"/>
      <c r="HP184" s="111"/>
      <c r="HQ184" s="111"/>
      <c r="HR184" s="111"/>
      <c r="HS184" s="111"/>
    </row>
    <row r="185" spans="1:227" ht="12">
      <c r="A185" s="96" t="s">
        <v>287</v>
      </c>
      <c r="B185" s="15"/>
      <c r="C185" s="15"/>
      <c r="D185" s="15" t="s">
        <v>12</v>
      </c>
      <c r="E185" s="15"/>
      <c r="F185" s="15"/>
      <c r="H185" s="121" t="s">
        <v>458</v>
      </c>
      <c r="I185" s="475"/>
      <c r="J185" s="477"/>
      <c r="K185" s="474"/>
      <c r="L185" s="474"/>
      <c r="AO185" s="111"/>
      <c r="AP185" s="111"/>
      <c r="AQ185" s="111"/>
      <c r="AR185" s="111"/>
      <c r="AS185" s="111"/>
      <c r="AT185" s="111"/>
      <c r="AU185" s="111"/>
      <c r="AV185" s="111"/>
      <c r="AW185" s="111"/>
      <c r="AX185" s="111"/>
      <c r="AY185" s="111"/>
      <c r="AZ185" s="111"/>
      <c r="BA185" s="111"/>
      <c r="BB185" s="111"/>
      <c r="BC185" s="111"/>
      <c r="BD185" s="111"/>
      <c r="BE185" s="111"/>
      <c r="BF185" s="111"/>
      <c r="BG185" s="111"/>
      <c r="BH185" s="111"/>
      <c r="BI185" s="111"/>
      <c r="BJ185" s="111"/>
      <c r="BK185" s="111"/>
      <c r="BL185" s="111"/>
      <c r="BM185" s="111"/>
      <c r="BN185" s="111"/>
      <c r="BO185" s="111"/>
      <c r="BP185" s="111"/>
      <c r="BQ185" s="111"/>
      <c r="BR185" s="111"/>
      <c r="BS185" s="111"/>
      <c r="BT185" s="111"/>
      <c r="BU185" s="111"/>
      <c r="BV185" s="111"/>
      <c r="BW185" s="111"/>
      <c r="BX185" s="111"/>
      <c r="BY185" s="111"/>
      <c r="BZ185" s="111"/>
      <c r="CA185" s="111"/>
      <c r="CB185" s="111"/>
      <c r="CC185" s="111"/>
      <c r="CD185" s="111"/>
      <c r="CE185" s="111"/>
      <c r="CF185" s="111"/>
      <c r="CG185" s="111"/>
      <c r="CH185" s="111"/>
      <c r="CI185" s="111"/>
      <c r="CJ185" s="111"/>
      <c r="CK185" s="111"/>
      <c r="CL185" s="111"/>
      <c r="CM185" s="111"/>
      <c r="CN185" s="111"/>
      <c r="CO185" s="111"/>
      <c r="CP185" s="111"/>
      <c r="CQ185" s="111"/>
      <c r="CR185" s="111"/>
      <c r="CS185" s="111"/>
      <c r="CT185" s="111"/>
      <c r="CU185" s="111"/>
      <c r="CV185" s="111"/>
      <c r="CW185" s="111"/>
      <c r="CX185" s="111"/>
      <c r="CY185" s="111"/>
      <c r="CZ185" s="111"/>
      <c r="DA185" s="111"/>
      <c r="DB185" s="111"/>
      <c r="DC185" s="111"/>
      <c r="DD185" s="111"/>
      <c r="DE185" s="111"/>
      <c r="DF185" s="111"/>
      <c r="DG185" s="111"/>
      <c r="DH185" s="111"/>
      <c r="DI185" s="111"/>
      <c r="DJ185" s="111"/>
      <c r="DK185" s="111"/>
      <c r="DL185" s="111"/>
      <c r="DM185" s="111"/>
      <c r="DN185" s="111"/>
      <c r="DO185" s="111"/>
      <c r="DP185" s="111"/>
      <c r="DQ185" s="111"/>
      <c r="DR185" s="111"/>
      <c r="DS185" s="111"/>
      <c r="DT185" s="111"/>
      <c r="DU185" s="111"/>
      <c r="DV185" s="111"/>
      <c r="DW185" s="111"/>
      <c r="DX185" s="111"/>
      <c r="DY185" s="111"/>
      <c r="DZ185" s="111"/>
      <c r="EA185" s="111"/>
      <c r="EB185" s="111"/>
      <c r="EC185" s="111"/>
      <c r="ED185" s="111"/>
      <c r="EE185" s="111"/>
      <c r="EF185" s="111"/>
      <c r="EG185" s="111"/>
      <c r="EH185" s="111"/>
      <c r="EI185" s="111"/>
      <c r="EJ185" s="111"/>
      <c r="EK185" s="111"/>
      <c r="EL185" s="111"/>
      <c r="EM185" s="111"/>
      <c r="EN185" s="111"/>
      <c r="EO185" s="111"/>
      <c r="EP185" s="111"/>
      <c r="EQ185" s="111"/>
      <c r="ER185" s="111"/>
      <c r="ES185" s="111"/>
      <c r="ET185" s="111"/>
      <c r="EU185" s="111"/>
      <c r="EV185" s="111"/>
      <c r="EW185" s="111"/>
      <c r="EX185" s="111"/>
      <c r="EY185" s="111"/>
      <c r="EZ185" s="111"/>
      <c r="FA185" s="111"/>
      <c r="FB185" s="111"/>
      <c r="FC185" s="111"/>
      <c r="FD185" s="111"/>
      <c r="FE185" s="111"/>
      <c r="FF185" s="111"/>
      <c r="FG185" s="111"/>
      <c r="FH185" s="111"/>
      <c r="FI185" s="111"/>
      <c r="FJ185" s="111"/>
      <c r="FK185" s="111"/>
      <c r="FL185" s="111"/>
      <c r="FM185" s="111"/>
      <c r="FN185" s="111"/>
      <c r="FO185" s="111"/>
      <c r="FP185" s="111"/>
      <c r="FQ185" s="111"/>
      <c r="FR185" s="111"/>
      <c r="FS185" s="111"/>
      <c r="FT185" s="111"/>
      <c r="FU185" s="111"/>
      <c r="FV185" s="111"/>
      <c r="FW185" s="111"/>
      <c r="FX185" s="111"/>
      <c r="FY185" s="111"/>
      <c r="FZ185" s="111"/>
      <c r="GA185" s="111"/>
      <c r="GB185" s="111"/>
      <c r="GC185" s="111"/>
      <c r="GD185" s="111"/>
      <c r="GE185" s="111"/>
      <c r="GF185" s="111"/>
      <c r="GG185" s="111"/>
      <c r="GH185" s="111"/>
      <c r="GI185" s="111"/>
      <c r="GJ185" s="111"/>
      <c r="GK185" s="111"/>
      <c r="GL185" s="111"/>
      <c r="GM185" s="111"/>
      <c r="GN185" s="111"/>
      <c r="GO185" s="111"/>
      <c r="GP185" s="111"/>
      <c r="GQ185" s="111"/>
      <c r="GR185" s="111"/>
      <c r="GS185" s="111"/>
      <c r="GT185" s="111"/>
      <c r="GU185" s="111"/>
      <c r="GV185" s="111"/>
      <c r="GW185" s="111"/>
      <c r="GX185" s="111"/>
      <c r="GY185" s="111"/>
      <c r="GZ185" s="111"/>
      <c r="HA185" s="111"/>
      <c r="HB185" s="111"/>
      <c r="HC185" s="111"/>
      <c r="HD185" s="111"/>
      <c r="HE185" s="111"/>
      <c r="HF185" s="111"/>
      <c r="HG185" s="111"/>
      <c r="HH185" s="111"/>
      <c r="HI185" s="111"/>
      <c r="HJ185" s="111"/>
      <c r="HK185" s="111"/>
      <c r="HL185" s="111"/>
      <c r="HM185" s="111"/>
      <c r="HN185" s="111"/>
      <c r="HO185" s="111"/>
      <c r="HP185" s="111"/>
      <c r="HQ185" s="111"/>
      <c r="HR185" s="111"/>
      <c r="HS185" s="111"/>
    </row>
    <row r="186" spans="1:227" ht="12">
      <c r="A186" s="96" t="s">
        <v>288</v>
      </c>
      <c r="B186" s="15"/>
      <c r="C186" s="15"/>
      <c r="D186" s="15" t="s">
        <v>13</v>
      </c>
      <c r="E186" s="15"/>
      <c r="F186" s="15"/>
      <c r="H186" s="127"/>
      <c r="I186" s="475"/>
      <c r="J186" s="477"/>
      <c r="K186" s="474"/>
      <c r="L186" s="474"/>
      <c r="AO186" s="111"/>
      <c r="AP186" s="111"/>
      <c r="AQ186" s="111"/>
      <c r="AR186" s="111"/>
      <c r="AS186" s="111"/>
      <c r="AT186" s="111"/>
      <c r="AU186" s="111"/>
      <c r="AV186" s="111"/>
      <c r="AW186" s="111"/>
      <c r="AX186" s="111"/>
      <c r="AY186" s="111"/>
      <c r="AZ186" s="111"/>
      <c r="BA186" s="111"/>
      <c r="BB186" s="111"/>
      <c r="BC186" s="111"/>
      <c r="BD186" s="111"/>
      <c r="BE186" s="111"/>
      <c r="BF186" s="111"/>
      <c r="BG186" s="111"/>
      <c r="BH186" s="111"/>
      <c r="BI186" s="111"/>
      <c r="BJ186" s="111"/>
      <c r="BK186" s="111"/>
      <c r="BL186" s="111"/>
      <c r="BM186" s="111"/>
      <c r="BN186" s="111"/>
      <c r="BO186" s="111"/>
      <c r="BP186" s="111"/>
      <c r="BQ186" s="111"/>
      <c r="BR186" s="111"/>
      <c r="BS186" s="111"/>
      <c r="BT186" s="111"/>
      <c r="BU186" s="111"/>
      <c r="BV186" s="111"/>
      <c r="BW186" s="111"/>
      <c r="BX186" s="111"/>
      <c r="BY186" s="111"/>
      <c r="BZ186" s="111"/>
      <c r="CA186" s="111"/>
      <c r="CB186" s="111"/>
      <c r="CC186" s="111"/>
      <c r="CD186" s="111"/>
      <c r="CE186" s="111"/>
      <c r="CF186" s="111"/>
      <c r="CG186" s="111"/>
      <c r="CH186" s="111"/>
      <c r="CI186" s="111"/>
      <c r="CJ186" s="111"/>
      <c r="CK186" s="111"/>
      <c r="CL186" s="111"/>
      <c r="CM186" s="111"/>
      <c r="CN186" s="111"/>
      <c r="CO186" s="111"/>
      <c r="CP186" s="111"/>
      <c r="CQ186" s="111"/>
      <c r="CR186" s="111"/>
      <c r="CS186" s="111"/>
      <c r="CT186" s="111"/>
      <c r="CU186" s="111"/>
      <c r="CV186" s="111"/>
      <c r="CW186" s="111"/>
      <c r="CX186" s="111"/>
      <c r="CY186" s="111"/>
      <c r="CZ186" s="111"/>
      <c r="DA186" s="111"/>
      <c r="DB186" s="111"/>
      <c r="DC186" s="111"/>
      <c r="DD186" s="111"/>
      <c r="DE186" s="111"/>
      <c r="DF186" s="111"/>
      <c r="DG186" s="111"/>
      <c r="DH186" s="111"/>
      <c r="DI186" s="111"/>
      <c r="DJ186" s="111"/>
      <c r="DK186" s="111"/>
      <c r="DL186" s="111"/>
      <c r="DM186" s="111"/>
      <c r="DN186" s="111"/>
      <c r="DO186" s="111"/>
      <c r="DP186" s="111"/>
      <c r="DQ186" s="111"/>
      <c r="DR186" s="111"/>
      <c r="DS186" s="111"/>
      <c r="DT186" s="111"/>
      <c r="DU186" s="111"/>
      <c r="DV186" s="111"/>
      <c r="DW186" s="111"/>
      <c r="DX186" s="111"/>
      <c r="DY186" s="111"/>
      <c r="DZ186" s="111"/>
      <c r="EA186" s="111"/>
      <c r="EB186" s="111"/>
      <c r="EC186" s="111"/>
      <c r="ED186" s="111"/>
      <c r="EE186" s="111"/>
      <c r="EF186" s="111"/>
      <c r="EG186" s="111"/>
      <c r="EH186" s="111"/>
      <c r="EI186" s="111"/>
      <c r="EJ186" s="111"/>
      <c r="EK186" s="111"/>
      <c r="EL186" s="111"/>
      <c r="EM186" s="111"/>
      <c r="EN186" s="111"/>
      <c r="EO186" s="111"/>
      <c r="EP186" s="111"/>
      <c r="EQ186" s="111"/>
      <c r="ER186" s="111"/>
      <c r="ES186" s="111"/>
      <c r="ET186" s="111"/>
      <c r="EU186" s="111"/>
      <c r="EV186" s="111"/>
      <c r="EW186" s="111"/>
      <c r="EX186" s="111"/>
      <c r="EY186" s="111"/>
      <c r="EZ186" s="111"/>
      <c r="FA186" s="111"/>
      <c r="FB186" s="111"/>
      <c r="FC186" s="111"/>
      <c r="FD186" s="111"/>
      <c r="FE186" s="111"/>
      <c r="FF186" s="111"/>
      <c r="FG186" s="111"/>
      <c r="FH186" s="111"/>
      <c r="FI186" s="111"/>
      <c r="FJ186" s="111"/>
      <c r="FK186" s="111"/>
      <c r="FL186" s="111"/>
      <c r="FM186" s="111"/>
      <c r="FN186" s="111"/>
      <c r="FO186" s="111"/>
      <c r="FP186" s="111"/>
      <c r="FQ186" s="111"/>
      <c r="FR186" s="111"/>
      <c r="FS186" s="111"/>
      <c r="FT186" s="111"/>
      <c r="FU186" s="111"/>
      <c r="FV186" s="111"/>
      <c r="FW186" s="111"/>
      <c r="FX186" s="111"/>
      <c r="FY186" s="111"/>
      <c r="FZ186" s="111"/>
      <c r="GA186" s="111"/>
      <c r="GB186" s="111"/>
      <c r="GC186" s="111"/>
      <c r="GD186" s="111"/>
      <c r="GE186" s="111"/>
      <c r="GF186" s="111"/>
      <c r="GG186" s="111"/>
      <c r="GH186" s="111"/>
      <c r="GI186" s="111"/>
      <c r="GJ186" s="111"/>
      <c r="GK186" s="111"/>
      <c r="GL186" s="111"/>
      <c r="GM186" s="111"/>
      <c r="GN186" s="111"/>
      <c r="GO186" s="111"/>
      <c r="GP186" s="111"/>
      <c r="GQ186" s="111"/>
      <c r="GR186" s="111"/>
      <c r="GS186" s="111"/>
      <c r="GT186" s="111"/>
      <c r="GU186" s="111"/>
      <c r="GV186" s="111"/>
      <c r="GW186" s="111"/>
      <c r="GX186" s="111"/>
      <c r="GY186" s="111"/>
      <c r="GZ186" s="111"/>
      <c r="HA186" s="111"/>
      <c r="HB186" s="111"/>
      <c r="HC186" s="111"/>
      <c r="HD186" s="111"/>
      <c r="HE186" s="111"/>
      <c r="HF186" s="111"/>
      <c r="HG186" s="111"/>
      <c r="HH186" s="111"/>
      <c r="HI186" s="111"/>
      <c r="HJ186" s="111"/>
      <c r="HK186" s="111"/>
      <c r="HL186" s="111"/>
      <c r="HM186" s="111"/>
      <c r="HN186" s="111"/>
      <c r="HO186" s="111"/>
      <c r="HP186" s="111"/>
      <c r="HQ186" s="111"/>
      <c r="HR186" s="111"/>
      <c r="HS186" s="111"/>
    </row>
    <row r="187" spans="1:227" ht="12">
      <c r="A187" s="96" t="s">
        <v>289</v>
      </c>
      <c r="B187" s="15"/>
      <c r="C187" s="15"/>
      <c r="D187" s="15" t="s">
        <v>14</v>
      </c>
      <c r="E187" s="15"/>
      <c r="F187" s="15"/>
      <c r="H187" s="127" t="s">
        <v>459</v>
      </c>
      <c r="I187" s="475"/>
      <c r="J187" s="477"/>
      <c r="K187" s="474"/>
      <c r="L187" s="474"/>
      <c r="AO187" s="111"/>
      <c r="AP187" s="111"/>
      <c r="AQ187" s="111"/>
      <c r="AR187" s="111"/>
      <c r="AS187" s="111"/>
      <c r="AT187" s="111"/>
      <c r="AU187" s="111"/>
      <c r="AV187" s="111"/>
      <c r="AW187" s="111"/>
      <c r="AX187" s="111"/>
      <c r="AY187" s="111"/>
      <c r="AZ187" s="111"/>
      <c r="BA187" s="111"/>
      <c r="BB187" s="111"/>
      <c r="BC187" s="111"/>
      <c r="BD187" s="111"/>
      <c r="BE187" s="111"/>
      <c r="BF187" s="111"/>
      <c r="BG187" s="111"/>
      <c r="BH187" s="111"/>
      <c r="BI187" s="111"/>
      <c r="BJ187" s="111"/>
      <c r="BK187" s="111"/>
      <c r="BL187" s="111"/>
      <c r="BM187" s="111"/>
      <c r="BN187" s="111"/>
      <c r="BO187" s="111"/>
      <c r="BP187" s="111"/>
      <c r="BQ187" s="111"/>
      <c r="BR187" s="111"/>
      <c r="BS187" s="111"/>
      <c r="BT187" s="111"/>
      <c r="BU187" s="111"/>
      <c r="BV187" s="111"/>
      <c r="BW187" s="111"/>
      <c r="BX187" s="111"/>
      <c r="BY187" s="111"/>
      <c r="BZ187" s="111"/>
      <c r="CA187" s="111"/>
      <c r="CB187" s="111"/>
      <c r="CC187" s="111"/>
      <c r="CD187" s="111"/>
      <c r="CE187" s="111"/>
      <c r="CF187" s="111"/>
      <c r="CG187" s="111"/>
      <c r="CH187" s="111"/>
      <c r="CI187" s="111"/>
      <c r="CJ187" s="111"/>
      <c r="CK187" s="111"/>
      <c r="CL187" s="111"/>
      <c r="CM187" s="111"/>
      <c r="CN187" s="111"/>
      <c r="CO187" s="111"/>
      <c r="CP187" s="111"/>
      <c r="CQ187" s="111"/>
      <c r="CR187" s="111"/>
      <c r="CS187" s="111"/>
      <c r="CT187" s="111"/>
      <c r="CU187" s="111"/>
      <c r="CV187" s="111"/>
      <c r="CW187" s="111"/>
      <c r="CX187" s="111"/>
      <c r="CY187" s="111"/>
      <c r="CZ187" s="111"/>
      <c r="DA187" s="111"/>
      <c r="DB187" s="111"/>
      <c r="DC187" s="111"/>
      <c r="DD187" s="111"/>
      <c r="DE187" s="111"/>
      <c r="DF187" s="111"/>
      <c r="DG187" s="111"/>
      <c r="DH187" s="111"/>
      <c r="DI187" s="111"/>
      <c r="DJ187" s="111"/>
      <c r="DK187" s="111"/>
      <c r="DL187" s="111"/>
      <c r="DM187" s="111"/>
      <c r="DN187" s="111"/>
      <c r="DO187" s="111"/>
      <c r="DP187" s="111"/>
      <c r="DQ187" s="111"/>
      <c r="DR187" s="111"/>
      <c r="DS187" s="111"/>
      <c r="DT187" s="111"/>
      <c r="DU187" s="111"/>
      <c r="DV187" s="111"/>
      <c r="DW187" s="111"/>
      <c r="DX187" s="111"/>
      <c r="DY187" s="111"/>
      <c r="DZ187" s="111"/>
      <c r="EA187" s="111"/>
      <c r="EB187" s="111"/>
      <c r="EC187" s="111"/>
      <c r="ED187" s="111"/>
      <c r="EE187" s="111"/>
      <c r="EF187" s="111"/>
      <c r="EG187" s="111"/>
      <c r="EH187" s="111"/>
      <c r="EI187" s="111"/>
      <c r="EJ187" s="111"/>
      <c r="EK187" s="111"/>
      <c r="EL187" s="111"/>
      <c r="EM187" s="111"/>
      <c r="EN187" s="111"/>
      <c r="EO187" s="111"/>
      <c r="EP187" s="111"/>
      <c r="EQ187" s="111"/>
      <c r="ER187" s="111"/>
      <c r="ES187" s="111"/>
      <c r="ET187" s="111"/>
      <c r="EU187" s="111"/>
      <c r="EV187" s="111"/>
      <c r="EW187" s="111"/>
      <c r="EX187" s="111"/>
      <c r="EY187" s="111"/>
      <c r="EZ187" s="111"/>
      <c r="FA187" s="111"/>
      <c r="FB187" s="111"/>
      <c r="FC187" s="111"/>
      <c r="FD187" s="111"/>
      <c r="FE187" s="111"/>
      <c r="FF187" s="111"/>
      <c r="FG187" s="111"/>
      <c r="FH187" s="111"/>
      <c r="FI187" s="111"/>
      <c r="FJ187" s="111"/>
      <c r="FK187" s="111"/>
      <c r="FL187" s="111"/>
      <c r="FM187" s="111"/>
      <c r="FN187" s="111"/>
      <c r="FO187" s="111"/>
      <c r="FP187" s="111"/>
      <c r="FQ187" s="111"/>
      <c r="FR187" s="111"/>
      <c r="FS187" s="111"/>
      <c r="FT187" s="111"/>
      <c r="FU187" s="111"/>
      <c r="FV187" s="111"/>
      <c r="FW187" s="111"/>
      <c r="FX187" s="111"/>
      <c r="FY187" s="111"/>
      <c r="FZ187" s="111"/>
      <c r="GA187" s="111"/>
      <c r="GB187" s="111"/>
      <c r="GC187" s="111"/>
      <c r="GD187" s="111"/>
      <c r="GE187" s="111"/>
      <c r="GF187" s="111"/>
      <c r="GG187" s="111"/>
      <c r="GH187" s="111"/>
      <c r="GI187" s="111"/>
      <c r="GJ187" s="111"/>
      <c r="GK187" s="111"/>
      <c r="GL187" s="111"/>
      <c r="GM187" s="111"/>
      <c r="GN187" s="111"/>
      <c r="GO187" s="111"/>
      <c r="GP187" s="111"/>
      <c r="GQ187" s="111"/>
      <c r="GR187" s="111"/>
      <c r="GS187" s="111"/>
      <c r="GT187" s="111"/>
      <c r="GU187" s="111"/>
      <c r="GV187" s="111"/>
      <c r="GW187" s="111"/>
      <c r="GX187" s="111"/>
      <c r="GY187" s="111"/>
      <c r="GZ187" s="111"/>
      <c r="HA187" s="111"/>
      <c r="HB187" s="111"/>
      <c r="HC187" s="111"/>
      <c r="HD187" s="111"/>
      <c r="HE187" s="111"/>
      <c r="HF187" s="111"/>
      <c r="HG187" s="111"/>
      <c r="HH187" s="111"/>
      <c r="HI187" s="111"/>
      <c r="HJ187" s="111"/>
      <c r="HK187" s="111"/>
      <c r="HL187" s="111"/>
      <c r="HM187" s="111"/>
      <c r="HN187" s="111"/>
      <c r="HO187" s="111"/>
      <c r="HP187" s="111"/>
      <c r="HQ187" s="111"/>
      <c r="HR187" s="111"/>
      <c r="HS187" s="111"/>
    </row>
    <row r="188" spans="1:227" ht="12">
      <c r="A188" s="96"/>
      <c r="B188" s="15"/>
      <c r="C188" s="15" t="s">
        <v>15</v>
      </c>
      <c r="D188" s="15"/>
      <c r="E188" s="15"/>
      <c r="F188" s="15"/>
      <c r="H188" s="127"/>
      <c r="I188" s="475"/>
      <c r="J188" s="477"/>
      <c r="K188" s="474"/>
      <c r="L188" s="474"/>
      <c r="AO188" s="111"/>
      <c r="AP188" s="111"/>
      <c r="AQ188" s="111"/>
      <c r="AR188" s="111"/>
      <c r="AS188" s="111"/>
      <c r="AT188" s="111"/>
      <c r="AU188" s="111"/>
      <c r="AV188" s="111"/>
      <c r="AW188" s="111"/>
      <c r="AX188" s="111"/>
      <c r="AY188" s="111"/>
      <c r="AZ188" s="111"/>
      <c r="BA188" s="111"/>
      <c r="BB188" s="111"/>
      <c r="BC188" s="111"/>
      <c r="BD188" s="111"/>
      <c r="BE188" s="111"/>
      <c r="BF188" s="111"/>
      <c r="BG188" s="111"/>
      <c r="BH188" s="111"/>
      <c r="BI188" s="111"/>
      <c r="BJ188" s="111"/>
      <c r="BK188" s="111"/>
      <c r="BL188" s="111"/>
      <c r="BM188" s="111"/>
      <c r="BN188" s="111"/>
      <c r="BO188" s="111"/>
      <c r="BP188" s="111"/>
      <c r="BQ188" s="111"/>
      <c r="BR188" s="111"/>
      <c r="BS188" s="111"/>
      <c r="BT188" s="111"/>
      <c r="BU188" s="111"/>
      <c r="BV188" s="111"/>
      <c r="BW188" s="111"/>
      <c r="BX188" s="111"/>
      <c r="BY188" s="111"/>
      <c r="BZ188" s="111"/>
      <c r="CA188" s="111"/>
      <c r="CB188" s="111"/>
      <c r="CC188" s="111"/>
      <c r="CD188" s="111"/>
      <c r="CE188" s="111"/>
      <c r="CF188" s="111"/>
      <c r="CG188" s="111"/>
      <c r="CH188" s="111"/>
      <c r="CI188" s="111"/>
      <c r="CJ188" s="111"/>
      <c r="CK188" s="111"/>
      <c r="CL188" s="111"/>
      <c r="CM188" s="111"/>
      <c r="CN188" s="111"/>
      <c r="CO188" s="111"/>
      <c r="CP188" s="111"/>
      <c r="CQ188" s="111"/>
      <c r="CR188" s="111"/>
      <c r="CS188" s="111"/>
      <c r="CT188" s="111"/>
      <c r="CU188" s="111"/>
      <c r="CV188" s="111"/>
      <c r="CW188" s="111"/>
      <c r="CX188" s="111"/>
      <c r="CY188" s="111"/>
      <c r="CZ188" s="111"/>
      <c r="DA188" s="111"/>
      <c r="DB188" s="111"/>
      <c r="DC188" s="111"/>
      <c r="DD188" s="111"/>
      <c r="DE188" s="111"/>
      <c r="DF188" s="111"/>
      <c r="DG188" s="111"/>
      <c r="DH188" s="111"/>
      <c r="DI188" s="111"/>
      <c r="DJ188" s="111"/>
      <c r="DK188" s="111"/>
      <c r="DL188" s="111"/>
      <c r="DM188" s="111"/>
      <c r="DN188" s="111"/>
      <c r="DO188" s="111"/>
      <c r="DP188" s="111"/>
      <c r="DQ188" s="111"/>
      <c r="DR188" s="111"/>
      <c r="DS188" s="111"/>
      <c r="DT188" s="111"/>
      <c r="DU188" s="111"/>
      <c r="DV188" s="111"/>
      <c r="DW188" s="111"/>
      <c r="DX188" s="111"/>
      <c r="DY188" s="111"/>
      <c r="DZ188" s="111"/>
      <c r="EA188" s="111"/>
      <c r="EB188" s="111"/>
      <c r="EC188" s="111"/>
      <c r="ED188" s="111"/>
      <c r="EE188" s="111"/>
      <c r="EF188" s="111"/>
      <c r="EG188" s="111"/>
      <c r="EH188" s="111"/>
      <c r="EI188" s="111"/>
      <c r="EJ188" s="111"/>
      <c r="EK188" s="111"/>
      <c r="EL188" s="111"/>
      <c r="EM188" s="111"/>
      <c r="EN188" s="111"/>
      <c r="EO188" s="111"/>
      <c r="EP188" s="111"/>
      <c r="EQ188" s="111"/>
      <c r="ER188" s="111"/>
      <c r="ES188" s="111"/>
      <c r="ET188" s="111"/>
      <c r="EU188" s="111"/>
      <c r="EV188" s="111"/>
      <c r="EW188" s="111"/>
      <c r="EX188" s="111"/>
      <c r="EY188" s="111"/>
      <c r="EZ188" s="111"/>
      <c r="FA188" s="111"/>
      <c r="FB188" s="111"/>
      <c r="FC188" s="111"/>
      <c r="FD188" s="111"/>
      <c r="FE188" s="111"/>
      <c r="FF188" s="111"/>
      <c r="FG188" s="111"/>
      <c r="FH188" s="111"/>
      <c r="FI188" s="111"/>
      <c r="FJ188" s="111"/>
      <c r="FK188" s="111"/>
      <c r="FL188" s="111"/>
      <c r="FM188" s="111"/>
      <c r="FN188" s="111"/>
      <c r="FO188" s="111"/>
      <c r="FP188" s="111"/>
      <c r="FQ188" s="111"/>
      <c r="FR188" s="111"/>
      <c r="FS188" s="111"/>
      <c r="FT188" s="111"/>
      <c r="FU188" s="111"/>
      <c r="FV188" s="111"/>
      <c r="FW188" s="111"/>
      <c r="FX188" s="111"/>
      <c r="FY188" s="111"/>
      <c r="FZ188" s="111"/>
      <c r="GA188" s="111"/>
      <c r="GB188" s="111"/>
      <c r="GC188" s="111"/>
      <c r="GD188" s="111"/>
      <c r="GE188" s="111"/>
      <c r="GF188" s="111"/>
      <c r="GG188" s="111"/>
      <c r="GH188" s="111"/>
      <c r="GI188" s="111"/>
      <c r="GJ188" s="111"/>
      <c r="GK188" s="111"/>
      <c r="GL188" s="111"/>
      <c r="GM188" s="111"/>
      <c r="GN188" s="111"/>
      <c r="GO188" s="111"/>
      <c r="GP188" s="111"/>
      <c r="GQ188" s="111"/>
      <c r="GR188" s="111"/>
      <c r="GS188" s="111"/>
      <c r="GT188" s="111"/>
      <c r="GU188" s="111"/>
      <c r="GV188" s="111"/>
      <c r="GW188" s="111"/>
      <c r="GX188" s="111"/>
      <c r="GY188" s="111"/>
      <c r="GZ188" s="111"/>
      <c r="HA188" s="111"/>
      <c r="HB188" s="111"/>
      <c r="HC188" s="111"/>
      <c r="HD188" s="111"/>
      <c r="HE188" s="111"/>
      <c r="HF188" s="111"/>
      <c r="HG188" s="111"/>
      <c r="HH188" s="111"/>
      <c r="HI188" s="111"/>
      <c r="HJ188" s="111"/>
      <c r="HK188" s="111"/>
      <c r="HL188" s="111"/>
      <c r="HM188" s="111"/>
      <c r="HN188" s="111"/>
      <c r="HO188" s="111"/>
      <c r="HP188" s="111"/>
      <c r="HQ188" s="111"/>
      <c r="HR188" s="111"/>
      <c r="HS188" s="111"/>
    </row>
    <row r="189" spans="1:227" ht="12">
      <c r="A189" s="96" t="s">
        <v>290</v>
      </c>
      <c r="B189" s="15"/>
      <c r="C189" s="15"/>
      <c r="D189" s="15" t="s">
        <v>11</v>
      </c>
      <c r="E189" s="15"/>
      <c r="F189" s="15"/>
      <c r="H189" s="127"/>
      <c r="I189" s="475"/>
      <c r="J189" s="477"/>
      <c r="K189" s="474"/>
      <c r="L189" s="474"/>
      <c r="AO189" s="111"/>
      <c r="AP189" s="111"/>
      <c r="AQ189" s="111"/>
      <c r="AR189" s="111"/>
      <c r="AS189" s="111"/>
      <c r="AT189" s="111"/>
      <c r="AU189" s="111"/>
      <c r="AV189" s="111"/>
      <c r="AW189" s="111"/>
      <c r="AX189" s="111"/>
      <c r="AY189" s="111"/>
      <c r="AZ189" s="111"/>
      <c r="BA189" s="111"/>
      <c r="BB189" s="111"/>
      <c r="BC189" s="111"/>
      <c r="BD189" s="111"/>
      <c r="BE189" s="111"/>
      <c r="BF189" s="111"/>
      <c r="BG189" s="111"/>
      <c r="BH189" s="111"/>
      <c r="BI189" s="111"/>
      <c r="BJ189" s="111"/>
      <c r="BK189" s="111"/>
      <c r="BL189" s="111"/>
      <c r="BM189" s="111"/>
      <c r="BN189" s="111"/>
      <c r="BO189" s="111"/>
      <c r="BP189" s="111"/>
      <c r="BQ189" s="111"/>
      <c r="BR189" s="111"/>
      <c r="BS189" s="111"/>
      <c r="BT189" s="111"/>
      <c r="BU189" s="111"/>
      <c r="BV189" s="111"/>
      <c r="BW189" s="111"/>
      <c r="BX189" s="111"/>
      <c r="BY189" s="111"/>
      <c r="BZ189" s="111"/>
      <c r="CA189" s="111"/>
      <c r="CB189" s="111"/>
      <c r="CC189" s="111"/>
      <c r="CD189" s="111"/>
      <c r="CE189" s="111"/>
      <c r="CF189" s="111"/>
      <c r="CG189" s="111"/>
      <c r="CH189" s="111"/>
      <c r="CI189" s="111"/>
      <c r="CJ189" s="111"/>
      <c r="CK189" s="111"/>
      <c r="CL189" s="111"/>
      <c r="CM189" s="111"/>
      <c r="CN189" s="111"/>
      <c r="CO189" s="111"/>
      <c r="CP189" s="111"/>
      <c r="CQ189" s="111"/>
      <c r="CR189" s="111"/>
      <c r="CS189" s="111"/>
      <c r="CT189" s="111"/>
      <c r="CU189" s="111"/>
      <c r="CV189" s="111"/>
      <c r="CW189" s="111"/>
      <c r="CX189" s="111"/>
      <c r="CY189" s="111"/>
      <c r="CZ189" s="111"/>
      <c r="DA189" s="111"/>
      <c r="DB189" s="111"/>
      <c r="DC189" s="111"/>
      <c r="DD189" s="111"/>
      <c r="DE189" s="111"/>
      <c r="DF189" s="111"/>
      <c r="DG189" s="111"/>
      <c r="DH189" s="111"/>
      <c r="DI189" s="111"/>
      <c r="DJ189" s="111"/>
      <c r="DK189" s="111"/>
      <c r="DL189" s="111"/>
      <c r="DM189" s="111"/>
      <c r="DN189" s="111"/>
      <c r="DO189" s="111"/>
      <c r="DP189" s="111"/>
      <c r="DQ189" s="111"/>
      <c r="DR189" s="111"/>
      <c r="DS189" s="111"/>
      <c r="DT189" s="111"/>
      <c r="DU189" s="111"/>
      <c r="DV189" s="111"/>
      <c r="DW189" s="111"/>
      <c r="DX189" s="111"/>
      <c r="DY189" s="111"/>
      <c r="DZ189" s="111"/>
      <c r="EA189" s="111"/>
      <c r="EB189" s="111"/>
      <c r="EC189" s="111"/>
      <c r="ED189" s="111"/>
      <c r="EE189" s="111"/>
      <c r="EF189" s="111"/>
      <c r="EG189" s="111"/>
      <c r="EH189" s="111"/>
      <c r="EI189" s="111"/>
      <c r="EJ189" s="111"/>
      <c r="EK189" s="111"/>
      <c r="EL189" s="111"/>
      <c r="EM189" s="111"/>
      <c r="EN189" s="111"/>
      <c r="EO189" s="111"/>
      <c r="EP189" s="111"/>
      <c r="EQ189" s="111"/>
      <c r="ER189" s="111"/>
      <c r="ES189" s="111"/>
      <c r="ET189" s="111"/>
      <c r="EU189" s="111"/>
      <c r="EV189" s="111"/>
      <c r="EW189" s="111"/>
      <c r="EX189" s="111"/>
      <c r="EY189" s="111"/>
      <c r="EZ189" s="111"/>
      <c r="FA189" s="111"/>
      <c r="FB189" s="111"/>
      <c r="FC189" s="111"/>
      <c r="FD189" s="111"/>
      <c r="FE189" s="111"/>
      <c r="FF189" s="111"/>
      <c r="FG189" s="111"/>
      <c r="FH189" s="111"/>
      <c r="FI189" s="111"/>
      <c r="FJ189" s="111"/>
      <c r="FK189" s="111"/>
      <c r="FL189" s="111"/>
      <c r="FM189" s="111"/>
      <c r="FN189" s="111"/>
      <c r="FO189" s="111"/>
      <c r="FP189" s="111"/>
      <c r="FQ189" s="111"/>
      <c r="FR189" s="111"/>
      <c r="FS189" s="111"/>
      <c r="FT189" s="111"/>
      <c r="FU189" s="111"/>
      <c r="FV189" s="111"/>
      <c r="FW189" s="111"/>
      <c r="FX189" s="111"/>
      <c r="FY189" s="111"/>
      <c r="FZ189" s="111"/>
      <c r="GA189" s="111"/>
      <c r="GB189" s="111"/>
      <c r="GC189" s="111"/>
      <c r="GD189" s="111"/>
      <c r="GE189" s="111"/>
      <c r="GF189" s="111"/>
      <c r="GG189" s="111"/>
      <c r="GH189" s="111"/>
      <c r="GI189" s="111"/>
      <c r="GJ189" s="111"/>
      <c r="GK189" s="111"/>
      <c r="GL189" s="111"/>
      <c r="GM189" s="111"/>
      <c r="GN189" s="111"/>
      <c r="GO189" s="111"/>
      <c r="GP189" s="111"/>
      <c r="GQ189" s="111"/>
      <c r="GR189" s="111"/>
      <c r="GS189" s="111"/>
      <c r="GT189" s="111"/>
      <c r="GU189" s="111"/>
      <c r="GV189" s="111"/>
      <c r="GW189" s="111"/>
      <c r="GX189" s="111"/>
      <c r="GY189" s="111"/>
      <c r="GZ189" s="111"/>
      <c r="HA189" s="111"/>
      <c r="HB189" s="111"/>
      <c r="HC189" s="111"/>
      <c r="HD189" s="111"/>
      <c r="HE189" s="111"/>
      <c r="HF189" s="111"/>
      <c r="HG189" s="111"/>
      <c r="HH189" s="111"/>
      <c r="HI189" s="111"/>
      <c r="HJ189" s="111"/>
      <c r="HK189" s="111"/>
      <c r="HL189" s="111"/>
      <c r="HM189" s="111"/>
      <c r="HN189" s="111"/>
      <c r="HO189" s="111"/>
      <c r="HP189" s="111"/>
      <c r="HQ189" s="111"/>
      <c r="HR189" s="111"/>
      <c r="HS189" s="111"/>
    </row>
    <row r="190" spans="1:227" ht="12">
      <c r="A190" s="96" t="s">
        <v>291</v>
      </c>
      <c r="B190" s="15"/>
      <c r="C190" s="15"/>
      <c r="D190" s="15" t="s">
        <v>12</v>
      </c>
      <c r="E190" s="15"/>
      <c r="F190" s="15"/>
      <c r="H190" s="127"/>
      <c r="I190" s="475"/>
      <c r="J190" s="477"/>
      <c r="K190" s="474"/>
      <c r="L190" s="474"/>
      <c r="AO190" s="111"/>
      <c r="AP190" s="111"/>
      <c r="AQ190" s="111"/>
      <c r="AR190" s="111"/>
      <c r="AS190" s="111"/>
      <c r="AT190" s="111"/>
      <c r="AU190" s="111"/>
      <c r="AV190" s="111"/>
      <c r="AW190" s="111"/>
      <c r="AX190" s="111"/>
      <c r="AY190" s="111"/>
      <c r="AZ190" s="111"/>
      <c r="BA190" s="111"/>
      <c r="BB190" s="111"/>
      <c r="BC190" s="111"/>
      <c r="BD190" s="111"/>
      <c r="BE190" s="111"/>
      <c r="BF190" s="111"/>
      <c r="BG190" s="111"/>
      <c r="BH190" s="111"/>
      <c r="BI190" s="111"/>
      <c r="BJ190" s="111"/>
      <c r="BK190" s="111"/>
      <c r="BL190" s="111"/>
      <c r="BM190" s="111"/>
      <c r="BN190" s="111"/>
      <c r="BO190" s="111"/>
      <c r="BP190" s="111"/>
      <c r="BQ190" s="111"/>
      <c r="BR190" s="111"/>
      <c r="BS190" s="111"/>
      <c r="BT190" s="111"/>
      <c r="BU190" s="111"/>
      <c r="BV190" s="111"/>
      <c r="BW190" s="111"/>
      <c r="BX190" s="111"/>
      <c r="BY190" s="111"/>
      <c r="BZ190" s="111"/>
      <c r="CA190" s="111"/>
      <c r="CB190" s="111"/>
      <c r="CC190" s="111"/>
      <c r="CD190" s="111"/>
      <c r="CE190" s="111"/>
      <c r="CF190" s="111"/>
      <c r="CG190" s="111"/>
      <c r="CH190" s="111"/>
      <c r="CI190" s="111"/>
      <c r="CJ190" s="111"/>
      <c r="CK190" s="111"/>
      <c r="CL190" s="111"/>
      <c r="CM190" s="111"/>
      <c r="CN190" s="111"/>
      <c r="CO190" s="111"/>
      <c r="CP190" s="111"/>
      <c r="CQ190" s="111"/>
      <c r="CR190" s="111"/>
      <c r="CS190" s="111"/>
      <c r="CT190" s="111"/>
      <c r="CU190" s="111"/>
      <c r="CV190" s="111"/>
      <c r="CW190" s="111"/>
      <c r="CX190" s="111"/>
      <c r="CY190" s="111"/>
      <c r="CZ190" s="111"/>
      <c r="DA190" s="111"/>
      <c r="DB190" s="111"/>
      <c r="DC190" s="111"/>
      <c r="DD190" s="111"/>
      <c r="DE190" s="111"/>
      <c r="DF190" s="111"/>
      <c r="DG190" s="111"/>
      <c r="DH190" s="111"/>
      <c r="DI190" s="111"/>
      <c r="DJ190" s="111"/>
      <c r="DK190" s="111"/>
      <c r="DL190" s="111"/>
      <c r="DM190" s="111"/>
      <c r="DN190" s="111"/>
      <c r="DO190" s="111"/>
      <c r="DP190" s="111"/>
      <c r="DQ190" s="111"/>
      <c r="DR190" s="111"/>
      <c r="DS190" s="111"/>
      <c r="DT190" s="111"/>
      <c r="DU190" s="111"/>
      <c r="DV190" s="111"/>
      <c r="DW190" s="111"/>
      <c r="DX190" s="111"/>
      <c r="DY190" s="111"/>
      <c r="DZ190" s="111"/>
      <c r="EA190" s="111"/>
      <c r="EB190" s="111"/>
      <c r="EC190" s="111"/>
      <c r="ED190" s="111"/>
      <c r="EE190" s="111"/>
      <c r="EF190" s="111"/>
      <c r="EG190" s="111"/>
      <c r="EH190" s="111"/>
      <c r="EI190" s="111"/>
      <c r="EJ190" s="111"/>
      <c r="EK190" s="111"/>
      <c r="EL190" s="111"/>
      <c r="EM190" s="111"/>
      <c r="EN190" s="111"/>
      <c r="EO190" s="111"/>
      <c r="EP190" s="111"/>
      <c r="EQ190" s="111"/>
      <c r="ER190" s="111"/>
      <c r="ES190" s="111"/>
      <c r="ET190" s="111"/>
      <c r="EU190" s="111"/>
      <c r="EV190" s="111"/>
      <c r="EW190" s="111"/>
      <c r="EX190" s="111"/>
      <c r="EY190" s="111"/>
      <c r="EZ190" s="111"/>
      <c r="FA190" s="111"/>
      <c r="FB190" s="111"/>
      <c r="FC190" s="111"/>
      <c r="FD190" s="111"/>
      <c r="FE190" s="111"/>
      <c r="FF190" s="111"/>
      <c r="FG190" s="111"/>
      <c r="FH190" s="111"/>
      <c r="FI190" s="111"/>
      <c r="FJ190" s="111"/>
      <c r="FK190" s="111"/>
      <c r="FL190" s="111"/>
      <c r="FM190" s="111"/>
      <c r="FN190" s="111"/>
      <c r="FO190" s="111"/>
      <c r="FP190" s="111"/>
      <c r="FQ190" s="111"/>
      <c r="FR190" s="111"/>
      <c r="FS190" s="111"/>
      <c r="FT190" s="111"/>
      <c r="FU190" s="111"/>
      <c r="FV190" s="111"/>
      <c r="FW190" s="111"/>
      <c r="FX190" s="111"/>
      <c r="FY190" s="111"/>
      <c r="FZ190" s="111"/>
      <c r="GA190" s="111"/>
      <c r="GB190" s="111"/>
      <c r="GC190" s="111"/>
      <c r="GD190" s="111"/>
      <c r="GE190" s="111"/>
      <c r="GF190" s="111"/>
      <c r="GG190" s="111"/>
      <c r="GH190" s="111"/>
      <c r="GI190" s="111"/>
      <c r="GJ190" s="111"/>
      <c r="GK190" s="111"/>
      <c r="GL190" s="111"/>
      <c r="GM190" s="111"/>
      <c r="GN190" s="111"/>
      <c r="GO190" s="111"/>
      <c r="GP190" s="111"/>
      <c r="GQ190" s="111"/>
      <c r="GR190" s="111"/>
      <c r="GS190" s="111"/>
      <c r="GT190" s="111"/>
      <c r="GU190" s="111"/>
      <c r="GV190" s="111"/>
      <c r="GW190" s="111"/>
      <c r="GX190" s="111"/>
      <c r="GY190" s="111"/>
      <c r="GZ190" s="111"/>
      <c r="HA190" s="111"/>
      <c r="HB190" s="111"/>
      <c r="HC190" s="111"/>
      <c r="HD190" s="111"/>
      <c r="HE190" s="111"/>
      <c r="HF190" s="111"/>
      <c r="HG190" s="111"/>
      <c r="HH190" s="111"/>
      <c r="HI190" s="111"/>
      <c r="HJ190" s="111"/>
      <c r="HK190" s="111"/>
      <c r="HL190" s="111"/>
      <c r="HM190" s="111"/>
      <c r="HN190" s="111"/>
      <c r="HO190" s="111"/>
      <c r="HP190" s="111"/>
      <c r="HQ190" s="111"/>
      <c r="HR190" s="111"/>
      <c r="HS190" s="111"/>
    </row>
    <row r="191" spans="1:227" s="15" customFormat="1" ht="12">
      <c r="A191" s="96" t="s">
        <v>292</v>
      </c>
      <c r="D191" s="15" t="s">
        <v>13</v>
      </c>
      <c r="G191" s="230"/>
      <c r="H191" s="127"/>
      <c r="I191" s="477"/>
      <c r="J191" s="474"/>
      <c r="K191" s="477"/>
      <c r="L191" s="475"/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  <c r="X191" s="111"/>
      <c r="Y191" s="111"/>
      <c r="Z191" s="111"/>
      <c r="AA191" s="111"/>
      <c r="AB191" s="111"/>
      <c r="AC191" s="111"/>
      <c r="AD191" s="111"/>
      <c r="AE191" s="111"/>
      <c r="AF191" s="111"/>
      <c r="AG191" s="111"/>
      <c r="AH191" s="111"/>
      <c r="AI191" s="111"/>
      <c r="AJ191" s="111"/>
      <c r="AK191" s="111"/>
      <c r="AL191" s="111"/>
      <c r="AM191" s="111"/>
      <c r="AN191" s="111"/>
      <c r="AO191" s="111"/>
      <c r="AP191" s="111"/>
      <c r="AQ191" s="111"/>
      <c r="AR191" s="111"/>
      <c r="AS191" s="111"/>
      <c r="AT191" s="111"/>
      <c r="AU191" s="111"/>
      <c r="AV191" s="111"/>
      <c r="AW191" s="111"/>
      <c r="AX191" s="111"/>
      <c r="AY191" s="111"/>
      <c r="AZ191" s="111"/>
      <c r="BA191" s="111"/>
      <c r="BB191" s="111"/>
      <c r="BC191" s="111"/>
      <c r="BD191" s="111"/>
      <c r="BE191" s="111"/>
      <c r="BF191" s="111"/>
      <c r="BG191" s="111"/>
      <c r="BH191" s="111"/>
      <c r="BI191" s="111"/>
      <c r="BJ191" s="111"/>
      <c r="BK191" s="111"/>
      <c r="BL191" s="111"/>
      <c r="BM191" s="111"/>
      <c r="BN191" s="111"/>
      <c r="BO191" s="111"/>
      <c r="BP191" s="111"/>
      <c r="BQ191" s="111"/>
      <c r="BR191" s="111"/>
      <c r="BS191" s="111"/>
      <c r="BT191" s="111"/>
      <c r="BU191" s="111"/>
      <c r="BV191" s="111"/>
      <c r="BW191" s="111"/>
      <c r="BX191" s="111"/>
      <c r="BY191" s="111"/>
      <c r="BZ191" s="111"/>
      <c r="CA191" s="111"/>
      <c r="CB191" s="111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49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  <c r="DD191" s="49"/>
      <c r="DE191" s="49"/>
      <c r="DF191" s="49"/>
      <c r="DG191" s="49"/>
      <c r="DH191" s="49"/>
      <c r="DI191" s="49"/>
      <c r="DJ191" s="49"/>
      <c r="DK191" s="49"/>
      <c r="DL191" s="49"/>
      <c r="DM191" s="49"/>
      <c r="DN191" s="49"/>
      <c r="DO191" s="49"/>
      <c r="DP191" s="49"/>
      <c r="DQ191" s="49"/>
      <c r="DR191" s="49"/>
      <c r="DS191" s="49"/>
      <c r="DT191" s="49"/>
      <c r="DU191" s="49"/>
      <c r="DV191" s="49"/>
      <c r="DW191" s="49"/>
      <c r="DX191" s="49"/>
      <c r="DY191" s="49"/>
      <c r="DZ191" s="49"/>
      <c r="EA191" s="49"/>
      <c r="EB191" s="49"/>
      <c r="EC191" s="49"/>
      <c r="ED191" s="49"/>
      <c r="EE191" s="49"/>
      <c r="EF191" s="49"/>
      <c r="EG191" s="49"/>
      <c r="EH191" s="49"/>
      <c r="EI191" s="49"/>
      <c r="EJ191" s="49"/>
      <c r="EK191" s="49"/>
      <c r="EL191" s="49"/>
      <c r="EM191" s="49"/>
      <c r="EN191" s="49"/>
      <c r="EO191" s="49"/>
      <c r="EP191" s="49"/>
      <c r="EQ191" s="49"/>
      <c r="ER191" s="49"/>
      <c r="ES191" s="49"/>
      <c r="ET191" s="49"/>
      <c r="EU191" s="49"/>
      <c r="EV191" s="49"/>
      <c r="EW191" s="49"/>
      <c r="EX191" s="49"/>
      <c r="EY191" s="49"/>
      <c r="EZ191" s="49"/>
      <c r="FA191" s="49"/>
      <c r="FB191" s="49"/>
      <c r="FC191" s="49"/>
      <c r="FD191" s="49"/>
      <c r="FE191" s="49"/>
      <c r="FF191" s="49"/>
      <c r="FG191" s="49"/>
      <c r="FH191" s="49"/>
      <c r="FI191" s="49"/>
      <c r="FJ191" s="49"/>
      <c r="FK191" s="49"/>
      <c r="FL191" s="49"/>
      <c r="FM191" s="49"/>
      <c r="FN191" s="49"/>
      <c r="FO191" s="49"/>
      <c r="FP191" s="49"/>
      <c r="FQ191" s="49"/>
      <c r="FR191" s="49"/>
      <c r="FS191" s="49"/>
      <c r="FT191" s="49"/>
      <c r="FU191" s="49"/>
      <c r="FV191" s="49"/>
      <c r="FW191" s="49"/>
      <c r="FX191" s="49"/>
      <c r="FY191" s="49"/>
      <c r="FZ191" s="49"/>
      <c r="GA191" s="49"/>
      <c r="GB191" s="49"/>
      <c r="GC191" s="49"/>
      <c r="GD191" s="49"/>
      <c r="GE191" s="49"/>
      <c r="GF191" s="49"/>
      <c r="GG191" s="49"/>
      <c r="GH191" s="49"/>
      <c r="GI191" s="49"/>
      <c r="GJ191" s="49"/>
      <c r="GK191" s="49"/>
      <c r="GL191" s="49"/>
      <c r="GM191" s="49"/>
      <c r="GN191" s="49"/>
      <c r="GO191" s="49"/>
      <c r="GP191" s="49"/>
      <c r="GQ191" s="49"/>
      <c r="GR191" s="49"/>
      <c r="GS191" s="49"/>
      <c r="GT191" s="49"/>
      <c r="GU191" s="49"/>
      <c r="GV191" s="49"/>
      <c r="GW191" s="49"/>
      <c r="GX191" s="49"/>
      <c r="GY191" s="49"/>
      <c r="GZ191" s="49"/>
      <c r="HA191" s="49"/>
      <c r="HB191" s="49"/>
      <c r="HC191" s="49"/>
      <c r="HD191" s="49"/>
      <c r="HE191" s="49"/>
      <c r="HF191" s="49"/>
      <c r="HG191" s="49"/>
      <c r="HH191" s="49"/>
      <c r="HI191" s="49"/>
      <c r="HJ191" s="49"/>
      <c r="HK191" s="49"/>
      <c r="HL191" s="49"/>
      <c r="HM191" s="49"/>
      <c r="HN191" s="49"/>
      <c r="HO191" s="49"/>
      <c r="HP191" s="49"/>
      <c r="HQ191" s="49"/>
      <c r="HR191" s="49"/>
      <c r="HS191" s="49"/>
    </row>
    <row r="192" spans="1:227" ht="13.5" customHeight="1">
      <c r="A192" s="96" t="s">
        <v>293</v>
      </c>
      <c r="B192" s="15"/>
      <c r="C192" s="15"/>
      <c r="D192" s="15" t="s">
        <v>14</v>
      </c>
      <c r="E192" s="15"/>
      <c r="F192" s="15"/>
      <c r="H192" s="127"/>
      <c r="I192" s="475"/>
      <c r="J192" s="476"/>
      <c r="K192" s="474"/>
      <c r="L192" s="474"/>
      <c r="AO192" s="111"/>
      <c r="AP192" s="111"/>
      <c r="AQ192" s="111"/>
      <c r="AR192" s="111"/>
      <c r="AS192" s="111"/>
      <c r="AT192" s="111"/>
      <c r="AU192" s="111"/>
      <c r="AV192" s="111"/>
      <c r="AW192" s="111"/>
      <c r="AX192" s="111"/>
      <c r="AY192" s="111"/>
      <c r="AZ192" s="111"/>
      <c r="BA192" s="111"/>
      <c r="BB192" s="111"/>
      <c r="BC192" s="111"/>
      <c r="BD192" s="111"/>
      <c r="BE192" s="111"/>
      <c r="BF192" s="111"/>
      <c r="BG192" s="111"/>
      <c r="BH192" s="111"/>
      <c r="BI192" s="111"/>
      <c r="BJ192" s="111"/>
      <c r="BK192" s="111"/>
      <c r="BL192" s="111"/>
      <c r="BM192" s="111"/>
      <c r="BN192" s="111"/>
      <c r="BO192" s="111"/>
      <c r="BP192" s="111"/>
      <c r="BQ192" s="111"/>
      <c r="BR192" s="111"/>
      <c r="BS192" s="111"/>
      <c r="BT192" s="111"/>
      <c r="BU192" s="111"/>
      <c r="BV192" s="111"/>
      <c r="BW192" s="111"/>
      <c r="BX192" s="111"/>
      <c r="BY192" s="111"/>
      <c r="BZ192" s="111"/>
      <c r="CA192" s="111"/>
      <c r="CB192" s="111"/>
      <c r="CC192" s="111"/>
      <c r="CD192" s="111"/>
      <c r="CE192" s="111"/>
      <c r="CF192" s="111"/>
      <c r="CG192" s="111"/>
      <c r="CH192" s="111"/>
      <c r="CI192" s="111"/>
      <c r="CJ192" s="111"/>
      <c r="CK192" s="111"/>
      <c r="CL192" s="111"/>
      <c r="CM192" s="111"/>
      <c r="CN192" s="111"/>
      <c r="CO192" s="111"/>
      <c r="CP192" s="111"/>
      <c r="CQ192" s="111"/>
      <c r="CR192" s="111"/>
      <c r="CS192" s="111"/>
      <c r="CT192" s="111"/>
      <c r="CU192" s="111"/>
      <c r="CV192" s="111"/>
      <c r="CW192" s="111"/>
      <c r="CX192" s="111"/>
      <c r="CY192" s="111"/>
      <c r="CZ192" s="111"/>
      <c r="DA192" s="111"/>
      <c r="DB192" s="111"/>
      <c r="DC192" s="111"/>
      <c r="DD192" s="111"/>
      <c r="DE192" s="111"/>
      <c r="DF192" s="111"/>
      <c r="DG192" s="111"/>
      <c r="DH192" s="111"/>
      <c r="DI192" s="111"/>
      <c r="DJ192" s="111"/>
      <c r="DK192" s="111"/>
      <c r="DL192" s="111"/>
      <c r="DM192" s="111"/>
      <c r="DN192" s="111"/>
      <c r="DO192" s="111"/>
      <c r="DP192" s="111"/>
      <c r="DQ192" s="111"/>
      <c r="DR192" s="111"/>
      <c r="DS192" s="111"/>
      <c r="DT192" s="111"/>
      <c r="DU192" s="111"/>
      <c r="DV192" s="111"/>
      <c r="DW192" s="111"/>
      <c r="DX192" s="111"/>
      <c r="DY192" s="111"/>
      <c r="DZ192" s="111"/>
      <c r="EA192" s="111"/>
      <c r="EB192" s="111"/>
      <c r="EC192" s="111"/>
      <c r="ED192" s="111"/>
      <c r="EE192" s="111"/>
      <c r="EF192" s="111"/>
      <c r="EG192" s="111"/>
      <c r="EH192" s="111"/>
      <c r="EI192" s="111"/>
      <c r="EJ192" s="111"/>
      <c r="EK192" s="111"/>
      <c r="EL192" s="111"/>
      <c r="EM192" s="111"/>
      <c r="EN192" s="111"/>
      <c r="EO192" s="111"/>
      <c r="EP192" s="111"/>
      <c r="EQ192" s="111"/>
      <c r="ER192" s="111"/>
      <c r="ES192" s="111"/>
      <c r="ET192" s="111"/>
      <c r="EU192" s="111"/>
      <c r="EV192" s="111"/>
      <c r="EW192" s="111"/>
      <c r="EX192" s="111"/>
      <c r="EY192" s="111"/>
      <c r="EZ192" s="111"/>
      <c r="FA192" s="111"/>
      <c r="FB192" s="111"/>
      <c r="FC192" s="111"/>
      <c r="FD192" s="111"/>
      <c r="FE192" s="111"/>
      <c r="FF192" s="111"/>
      <c r="FG192" s="111"/>
      <c r="FH192" s="111"/>
      <c r="FI192" s="111"/>
      <c r="FJ192" s="111"/>
      <c r="FK192" s="111"/>
      <c r="FL192" s="111"/>
      <c r="FM192" s="111"/>
      <c r="FN192" s="111"/>
      <c r="FO192" s="111"/>
      <c r="FP192" s="111"/>
      <c r="FQ192" s="111"/>
      <c r="FR192" s="111"/>
      <c r="FS192" s="111"/>
      <c r="FT192" s="111"/>
      <c r="FU192" s="111"/>
      <c r="FV192" s="111"/>
      <c r="FW192" s="111"/>
      <c r="FX192" s="111"/>
      <c r="FY192" s="111"/>
      <c r="FZ192" s="111"/>
      <c r="GA192" s="111"/>
      <c r="GB192" s="111"/>
      <c r="GC192" s="111"/>
      <c r="GD192" s="111"/>
      <c r="GE192" s="111"/>
      <c r="GF192" s="111"/>
      <c r="GG192" s="111"/>
      <c r="GH192" s="111"/>
      <c r="GI192" s="111"/>
      <c r="GJ192" s="111"/>
      <c r="GK192" s="111"/>
      <c r="GL192" s="111"/>
      <c r="GM192" s="111"/>
      <c r="GN192" s="111"/>
      <c r="GO192" s="111"/>
      <c r="GP192" s="111"/>
      <c r="GQ192" s="111"/>
      <c r="GR192" s="111"/>
      <c r="GS192" s="111"/>
      <c r="GT192" s="111"/>
      <c r="GU192" s="111"/>
      <c r="GV192" s="111"/>
      <c r="GW192" s="111"/>
      <c r="GX192" s="111"/>
      <c r="GY192" s="111"/>
      <c r="GZ192" s="111"/>
      <c r="HA192" s="111"/>
      <c r="HB192" s="111"/>
      <c r="HC192" s="111"/>
      <c r="HD192" s="111"/>
      <c r="HE192" s="111"/>
      <c r="HF192" s="111"/>
      <c r="HG192" s="111"/>
      <c r="HH192" s="111"/>
      <c r="HI192" s="111"/>
      <c r="HJ192" s="111"/>
      <c r="HK192" s="111"/>
      <c r="HL192" s="111"/>
      <c r="HM192" s="111"/>
      <c r="HN192" s="111"/>
      <c r="HO192" s="111"/>
      <c r="HP192" s="111"/>
      <c r="HQ192" s="111"/>
      <c r="HR192" s="111"/>
      <c r="HS192" s="111"/>
    </row>
    <row r="193" spans="1:227" ht="12">
      <c r="A193" s="96"/>
      <c r="B193" s="15"/>
      <c r="C193" s="15" t="s">
        <v>16</v>
      </c>
      <c r="D193" s="15"/>
      <c r="E193" s="15"/>
      <c r="F193" s="15"/>
      <c r="H193" s="127"/>
      <c r="I193" s="477"/>
      <c r="J193" s="476"/>
      <c r="K193" s="478"/>
      <c r="L193" s="478"/>
      <c r="AO193" s="111"/>
      <c r="AP193" s="111"/>
      <c r="AQ193" s="111"/>
      <c r="AR193" s="111"/>
      <c r="AS193" s="111"/>
      <c r="AT193" s="111"/>
      <c r="AU193" s="111"/>
      <c r="AV193" s="111"/>
      <c r="AW193" s="111"/>
      <c r="AX193" s="111"/>
      <c r="AY193" s="111"/>
      <c r="AZ193" s="111"/>
      <c r="BA193" s="111"/>
      <c r="BB193" s="111"/>
      <c r="BC193" s="111"/>
      <c r="BD193" s="111"/>
      <c r="BE193" s="111"/>
      <c r="BF193" s="111"/>
      <c r="BG193" s="111"/>
      <c r="BH193" s="111"/>
      <c r="BI193" s="111"/>
      <c r="BJ193" s="111"/>
      <c r="BK193" s="111"/>
      <c r="BL193" s="111"/>
      <c r="BM193" s="111"/>
      <c r="BN193" s="111"/>
      <c r="BO193" s="111"/>
      <c r="BP193" s="111"/>
      <c r="BQ193" s="111"/>
      <c r="BR193" s="111"/>
      <c r="BS193" s="111"/>
      <c r="BT193" s="111"/>
      <c r="BU193" s="111"/>
      <c r="BV193" s="111"/>
      <c r="BW193" s="111"/>
      <c r="BX193" s="111"/>
      <c r="BY193" s="111"/>
      <c r="BZ193" s="111"/>
      <c r="CA193" s="111"/>
      <c r="CB193" s="111"/>
      <c r="CC193" s="111"/>
      <c r="CD193" s="111"/>
      <c r="CE193" s="111"/>
      <c r="CF193" s="111"/>
      <c r="CG193" s="111"/>
      <c r="CH193" s="111"/>
      <c r="CI193" s="111"/>
      <c r="CJ193" s="111"/>
      <c r="CK193" s="111"/>
      <c r="CL193" s="111"/>
      <c r="CM193" s="111"/>
      <c r="CN193" s="111"/>
      <c r="CO193" s="111"/>
      <c r="CP193" s="111"/>
      <c r="CQ193" s="111"/>
      <c r="CR193" s="111"/>
      <c r="CS193" s="111"/>
      <c r="CT193" s="111"/>
      <c r="CU193" s="111"/>
      <c r="CV193" s="111"/>
      <c r="CW193" s="111"/>
      <c r="CX193" s="111"/>
      <c r="CY193" s="111"/>
      <c r="CZ193" s="111"/>
      <c r="DA193" s="111"/>
      <c r="DB193" s="111"/>
      <c r="DC193" s="111"/>
      <c r="DD193" s="111"/>
      <c r="DE193" s="111"/>
      <c r="DF193" s="111"/>
      <c r="DG193" s="111"/>
      <c r="DH193" s="111"/>
      <c r="DI193" s="111"/>
      <c r="DJ193" s="111"/>
      <c r="DK193" s="111"/>
      <c r="DL193" s="111"/>
      <c r="DM193" s="111"/>
      <c r="DN193" s="111"/>
      <c r="DO193" s="111"/>
      <c r="DP193" s="111"/>
      <c r="DQ193" s="111"/>
      <c r="DR193" s="111"/>
      <c r="DS193" s="111"/>
      <c r="DT193" s="111"/>
      <c r="DU193" s="111"/>
      <c r="DV193" s="111"/>
      <c r="DW193" s="111"/>
      <c r="DX193" s="111"/>
      <c r="DY193" s="111"/>
      <c r="DZ193" s="111"/>
      <c r="EA193" s="111"/>
      <c r="EB193" s="111"/>
      <c r="EC193" s="111"/>
      <c r="ED193" s="111"/>
      <c r="EE193" s="111"/>
      <c r="EF193" s="111"/>
      <c r="EG193" s="111"/>
      <c r="EH193" s="111"/>
      <c r="EI193" s="111"/>
      <c r="EJ193" s="111"/>
      <c r="EK193" s="111"/>
      <c r="EL193" s="111"/>
      <c r="EM193" s="111"/>
      <c r="EN193" s="111"/>
      <c r="EO193" s="111"/>
      <c r="EP193" s="111"/>
      <c r="EQ193" s="111"/>
      <c r="ER193" s="111"/>
      <c r="ES193" s="111"/>
      <c r="ET193" s="111"/>
      <c r="EU193" s="111"/>
      <c r="EV193" s="111"/>
      <c r="EW193" s="111"/>
      <c r="EX193" s="111"/>
      <c r="EY193" s="111"/>
      <c r="EZ193" s="111"/>
      <c r="FA193" s="111"/>
      <c r="FB193" s="111"/>
      <c r="FC193" s="111"/>
      <c r="FD193" s="111"/>
      <c r="FE193" s="111"/>
      <c r="FF193" s="111"/>
      <c r="FG193" s="111"/>
      <c r="FH193" s="111"/>
      <c r="FI193" s="111"/>
      <c r="FJ193" s="111"/>
      <c r="FK193" s="111"/>
      <c r="FL193" s="111"/>
      <c r="FM193" s="111"/>
      <c r="FN193" s="111"/>
      <c r="FO193" s="111"/>
      <c r="FP193" s="111"/>
      <c r="FQ193" s="111"/>
      <c r="FR193" s="111"/>
      <c r="FS193" s="111"/>
      <c r="FT193" s="111"/>
      <c r="FU193" s="111"/>
      <c r="FV193" s="111"/>
      <c r="FW193" s="111"/>
      <c r="FX193" s="111"/>
      <c r="FY193" s="111"/>
      <c r="FZ193" s="111"/>
      <c r="GA193" s="111"/>
      <c r="GB193" s="111"/>
      <c r="GC193" s="111"/>
      <c r="GD193" s="111"/>
      <c r="GE193" s="111"/>
      <c r="GF193" s="111"/>
      <c r="GG193" s="111"/>
      <c r="GH193" s="111"/>
      <c r="GI193" s="111"/>
      <c r="GJ193" s="111"/>
      <c r="GK193" s="111"/>
      <c r="GL193" s="111"/>
      <c r="GM193" s="111"/>
      <c r="GN193" s="111"/>
      <c r="GO193" s="111"/>
      <c r="GP193" s="111"/>
      <c r="GQ193" s="111"/>
      <c r="GR193" s="111"/>
      <c r="GS193" s="111"/>
      <c r="GT193" s="111"/>
      <c r="GU193" s="111"/>
      <c r="GV193" s="111"/>
      <c r="GW193" s="111"/>
      <c r="GX193" s="111"/>
      <c r="GY193" s="111"/>
      <c r="GZ193" s="111"/>
      <c r="HA193" s="111"/>
      <c r="HB193" s="111"/>
      <c r="HC193" s="111"/>
      <c r="HD193" s="111"/>
      <c r="HE193" s="111"/>
      <c r="HF193" s="111"/>
      <c r="HG193" s="111"/>
      <c r="HH193" s="111"/>
      <c r="HI193" s="111"/>
      <c r="HJ193" s="111"/>
      <c r="HK193" s="111"/>
      <c r="HL193" s="111"/>
      <c r="HM193" s="111"/>
      <c r="HN193" s="111"/>
      <c r="HO193" s="111"/>
      <c r="HP193" s="111"/>
      <c r="HQ193" s="111"/>
      <c r="HR193" s="111"/>
      <c r="HS193" s="111"/>
    </row>
    <row r="194" spans="1:227" ht="12">
      <c r="A194" s="96"/>
      <c r="B194" s="15"/>
      <c r="C194" s="15" t="s">
        <v>10</v>
      </c>
      <c r="D194" s="15"/>
      <c r="E194" s="15"/>
      <c r="F194" s="15"/>
      <c r="H194" s="136"/>
      <c r="I194" s="477"/>
      <c r="J194" s="476"/>
      <c r="K194" s="478"/>
      <c r="L194" s="478"/>
      <c r="AO194" s="111"/>
      <c r="AP194" s="111"/>
      <c r="AQ194" s="111"/>
      <c r="AR194" s="111"/>
      <c r="AS194" s="111"/>
      <c r="AT194" s="111"/>
      <c r="AU194" s="111"/>
      <c r="AV194" s="111"/>
      <c r="AW194" s="111"/>
      <c r="AX194" s="111"/>
      <c r="AY194" s="111"/>
      <c r="AZ194" s="111"/>
      <c r="BA194" s="111"/>
      <c r="BB194" s="111"/>
      <c r="BC194" s="111"/>
      <c r="BD194" s="111"/>
      <c r="BE194" s="111"/>
      <c r="BF194" s="111"/>
      <c r="BG194" s="111"/>
      <c r="BH194" s="111"/>
      <c r="BI194" s="111"/>
      <c r="BJ194" s="111"/>
      <c r="BK194" s="111"/>
      <c r="BL194" s="111"/>
      <c r="BM194" s="111"/>
      <c r="BN194" s="111"/>
      <c r="BO194" s="111"/>
      <c r="BP194" s="111"/>
      <c r="BQ194" s="111"/>
      <c r="BR194" s="111"/>
      <c r="BS194" s="111"/>
      <c r="BT194" s="111"/>
      <c r="BU194" s="111"/>
      <c r="BV194" s="111"/>
      <c r="BW194" s="111"/>
      <c r="BX194" s="111"/>
      <c r="BY194" s="111"/>
      <c r="BZ194" s="111"/>
      <c r="CA194" s="111"/>
      <c r="CB194" s="111"/>
      <c r="CC194" s="111"/>
      <c r="CD194" s="111"/>
      <c r="CE194" s="111"/>
      <c r="CF194" s="111"/>
      <c r="CG194" s="111"/>
      <c r="CH194" s="111"/>
      <c r="CI194" s="111"/>
      <c r="CJ194" s="111"/>
      <c r="CK194" s="111"/>
      <c r="CL194" s="111"/>
      <c r="CM194" s="111"/>
      <c r="CN194" s="111"/>
      <c r="CO194" s="111"/>
      <c r="CP194" s="111"/>
      <c r="CQ194" s="111"/>
      <c r="CR194" s="111"/>
      <c r="CS194" s="111"/>
      <c r="CT194" s="111"/>
      <c r="CU194" s="111"/>
      <c r="CV194" s="111"/>
      <c r="CW194" s="111"/>
      <c r="CX194" s="111"/>
      <c r="CY194" s="111"/>
      <c r="CZ194" s="111"/>
      <c r="DA194" s="111"/>
      <c r="DB194" s="111"/>
      <c r="DC194" s="111"/>
      <c r="DD194" s="111"/>
      <c r="DE194" s="111"/>
      <c r="DF194" s="111"/>
      <c r="DG194" s="111"/>
      <c r="DH194" s="111"/>
      <c r="DI194" s="111"/>
      <c r="DJ194" s="111"/>
      <c r="DK194" s="111"/>
      <c r="DL194" s="111"/>
      <c r="DM194" s="111"/>
      <c r="DN194" s="111"/>
      <c r="DO194" s="111"/>
      <c r="DP194" s="111"/>
      <c r="DQ194" s="111"/>
      <c r="DR194" s="111"/>
      <c r="DS194" s="111"/>
      <c r="DT194" s="111"/>
      <c r="DU194" s="111"/>
      <c r="DV194" s="111"/>
      <c r="DW194" s="111"/>
      <c r="DX194" s="111"/>
      <c r="DY194" s="111"/>
      <c r="DZ194" s="111"/>
      <c r="EA194" s="111"/>
      <c r="EB194" s="111"/>
      <c r="EC194" s="111"/>
      <c r="ED194" s="111"/>
      <c r="EE194" s="111"/>
      <c r="EF194" s="111"/>
      <c r="EG194" s="111"/>
      <c r="EH194" s="111"/>
      <c r="EI194" s="111"/>
      <c r="EJ194" s="111"/>
      <c r="EK194" s="111"/>
      <c r="EL194" s="111"/>
      <c r="EM194" s="111"/>
      <c r="EN194" s="111"/>
      <c r="EO194" s="111"/>
      <c r="EP194" s="111"/>
      <c r="EQ194" s="111"/>
      <c r="ER194" s="111"/>
      <c r="ES194" s="111"/>
      <c r="ET194" s="111"/>
      <c r="EU194" s="111"/>
      <c r="EV194" s="111"/>
      <c r="EW194" s="111"/>
      <c r="EX194" s="111"/>
      <c r="EY194" s="111"/>
      <c r="EZ194" s="111"/>
      <c r="FA194" s="111"/>
      <c r="FB194" s="111"/>
      <c r="FC194" s="111"/>
      <c r="FD194" s="111"/>
      <c r="FE194" s="111"/>
      <c r="FF194" s="111"/>
      <c r="FG194" s="111"/>
      <c r="FH194" s="111"/>
      <c r="FI194" s="111"/>
      <c r="FJ194" s="111"/>
      <c r="FK194" s="111"/>
      <c r="FL194" s="111"/>
      <c r="FM194" s="111"/>
      <c r="FN194" s="111"/>
      <c r="FO194" s="111"/>
      <c r="FP194" s="111"/>
      <c r="FQ194" s="111"/>
      <c r="FR194" s="111"/>
      <c r="FS194" s="111"/>
      <c r="FT194" s="111"/>
      <c r="FU194" s="111"/>
      <c r="FV194" s="111"/>
      <c r="FW194" s="111"/>
      <c r="FX194" s="111"/>
      <c r="FY194" s="111"/>
      <c r="FZ194" s="111"/>
      <c r="GA194" s="111"/>
      <c r="GB194" s="111"/>
      <c r="GC194" s="111"/>
      <c r="GD194" s="111"/>
      <c r="GE194" s="111"/>
      <c r="GF194" s="111"/>
      <c r="GG194" s="111"/>
      <c r="GH194" s="111"/>
      <c r="GI194" s="111"/>
      <c r="GJ194" s="111"/>
      <c r="GK194" s="111"/>
      <c r="GL194" s="111"/>
      <c r="GM194" s="111"/>
      <c r="GN194" s="111"/>
      <c r="GO194" s="111"/>
      <c r="GP194" s="111"/>
      <c r="GQ194" s="111"/>
      <c r="GR194" s="111"/>
      <c r="GS194" s="111"/>
      <c r="GT194" s="111"/>
      <c r="GU194" s="111"/>
      <c r="GV194" s="111"/>
      <c r="GW194" s="111"/>
      <c r="GX194" s="111"/>
      <c r="GY194" s="111"/>
      <c r="GZ194" s="111"/>
      <c r="HA194" s="111"/>
      <c r="HB194" s="111"/>
      <c r="HC194" s="111"/>
      <c r="HD194" s="111"/>
      <c r="HE194" s="111"/>
      <c r="HF194" s="111"/>
      <c r="HG194" s="111"/>
      <c r="HH194" s="111"/>
      <c r="HI194" s="111"/>
      <c r="HJ194" s="111"/>
      <c r="HK194" s="111"/>
      <c r="HL194" s="111"/>
      <c r="HM194" s="111"/>
      <c r="HN194" s="111"/>
      <c r="HO194" s="111"/>
      <c r="HP194" s="111"/>
      <c r="HQ194" s="111"/>
      <c r="HR194" s="111"/>
      <c r="HS194" s="111"/>
    </row>
    <row r="195" spans="1:227" s="15" customFormat="1" ht="12">
      <c r="A195" s="96" t="s">
        <v>294</v>
      </c>
      <c r="D195" s="15" t="s">
        <v>17</v>
      </c>
      <c r="G195" s="230"/>
      <c r="H195" s="136"/>
      <c r="I195" s="477"/>
      <c r="J195" s="476"/>
      <c r="K195" s="477"/>
      <c r="L195" s="475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  <c r="AA195" s="111"/>
      <c r="AB195" s="111"/>
      <c r="AC195" s="111"/>
      <c r="AD195" s="111"/>
      <c r="AE195" s="111"/>
      <c r="AF195" s="111"/>
      <c r="AG195" s="111"/>
      <c r="AH195" s="111"/>
      <c r="AI195" s="111"/>
      <c r="AJ195" s="111"/>
      <c r="AK195" s="111"/>
      <c r="AL195" s="111"/>
      <c r="AM195" s="111"/>
      <c r="AN195" s="111"/>
      <c r="AO195" s="111"/>
      <c r="AP195" s="111"/>
      <c r="AQ195" s="111"/>
      <c r="AR195" s="111"/>
      <c r="AS195" s="111"/>
      <c r="AT195" s="111"/>
      <c r="AU195" s="111"/>
      <c r="AV195" s="111"/>
      <c r="AW195" s="111"/>
      <c r="AX195" s="111"/>
      <c r="AY195" s="111"/>
      <c r="AZ195" s="111"/>
      <c r="BA195" s="111"/>
      <c r="BB195" s="111"/>
      <c r="BC195" s="111"/>
      <c r="BD195" s="111"/>
      <c r="BE195" s="111"/>
      <c r="BF195" s="111"/>
      <c r="BG195" s="111"/>
      <c r="BH195" s="111"/>
      <c r="BI195" s="111"/>
      <c r="BJ195" s="111"/>
      <c r="BK195" s="111"/>
      <c r="BL195" s="111"/>
      <c r="BM195" s="111"/>
      <c r="BN195" s="111"/>
      <c r="BO195" s="111"/>
      <c r="BP195" s="111"/>
      <c r="BQ195" s="111"/>
      <c r="BR195" s="111"/>
      <c r="BS195" s="111"/>
      <c r="BT195" s="111"/>
      <c r="BU195" s="111"/>
      <c r="BV195" s="111"/>
      <c r="BW195" s="111"/>
      <c r="BX195" s="111"/>
      <c r="BY195" s="111"/>
      <c r="BZ195" s="111"/>
      <c r="CA195" s="111"/>
      <c r="CB195" s="111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49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  <c r="DI195" s="49"/>
      <c r="DJ195" s="49"/>
      <c r="DK195" s="49"/>
      <c r="DL195" s="49"/>
      <c r="DM195" s="49"/>
      <c r="DN195" s="49"/>
      <c r="DO195" s="49"/>
      <c r="DP195" s="49"/>
      <c r="DQ195" s="49"/>
      <c r="DR195" s="49"/>
      <c r="DS195" s="49"/>
      <c r="DT195" s="49"/>
      <c r="DU195" s="49"/>
      <c r="DV195" s="49"/>
      <c r="DW195" s="49"/>
      <c r="DX195" s="49"/>
      <c r="DY195" s="49"/>
      <c r="DZ195" s="49"/>
      <c r="EA195" s="49"/>
      <c r="EB195" s="49"/>
      <c r="EC195" s="49"/>
      <c r="ED195" s="49"/>
      <c r="EE195" s="49"/>
      <c r="EF195" s="49"/>
      <c r="EG195" s="49"/>
      <c r="EH195" s="49"/>
      <c r="EI195" s="49"/>
      <c r="EJ195" s="49"/>
      <c r="EK195" s="49"/>
      <c r="EL195" s="49"/>
      <c r="EM195" s="49"/>
      <c r="EN195" s="49"/>
      <c r="EO195" s="49"/>
      <c r="EP195" s="49"/>
      <c r="EQ195" s="49"/>
      <c r="ER195" s="49"/>
      <c r="ES195" s="49"/>
      <c r="ET195" s="49"/>
      <c r="EU195" s="49"/>
      <c r="EV195" s="49"/>
      <c r="EW195" s="49"/>
      <c r="EX195" s="49"/>
      <c r="EY195" s="49"/>
      <c r="EZ195" s="49"/>
      <c r="FA195" s="49"/>
      <c r="FB195" s="49"/>
      <c r="FC195" s="49"/>
      <c r="FD195" s="49"/>
      <c r="FE195" s="49"/>
      <c r="FF195" s="49"/>
      <c r="FG195" s="49"/>
      <c r="FH195" s="49"/>
      <c r="FI195" s="49"/>
      <c r="FJ195" s="49"/>
      <c r="FK195" s="49"/>
      <c r="FL195" s="49"/>
      <c r="FM195" s="49"/>
      <c r="FN195" s="49"/>
      <c r="FO195" s="49"/>
      <c r="FP195" s="49"/>
      <c r="FQ195" s="49"/>
      <c r="FR195" s="49"/>
      <c r="FS195" s="49"/>
      <c r="FT195" s="49"/>
      <c r="FU195" s="49"/>
      <c r="FV195" s="49"/>
      <c r="FW195" s="49"/>
      <c r="FX195" s="49"/>
      <c r="FY195" s="49"/>
      <c r="FZ195" s="49"/>
      <c r="GA195" s="49"/>
      <c r="GB195" s="49"/>
      <c r="GC195" s="49"/>
      <c r="GD195" s="49"/>
      <c r="GE195" s="49"/>
      <c r="GF195" s="49"/>
      <c r="GG195" s="49"/>
      <c r="GH195" s="49"/>
      <c r="GI195" s="49"/>
      <c r="GJ195" s="49"/>
      <c r="GK195" s="49"/>
      <c r="GL195" s="49"/>
      <c r="GM195" s="49"/>
      <c r="GN195" s="49"/>
      <c r="GO195" s="49"/>
      <c r="GP195" s="49"/>
      <c r="GQ195" s="49"/>
      <c r="GR195" s="49"/>
      <c r="GS195" s="49"/>
      <c r="GT195" s="49"/>
      <c r="GU195" s="49"/>
      <c r="GV195" s="49"/>
      <c r="GW195" s="49"/>
      <c r="GX195" s="49"/>
      <c r="GY195" s="49"/>
      <c r="GZ195" s="49"/>
      <c r="HA195" s="49"/>
      <c r="HB195" s="49"/>
      <c r="HC195" s="49"/>
      <c r="HD195" s="49"/>
      <c r="HE195" s="49"/>
      <c r="HF195" s="49"/>
      <c r="HG195" s="49"/>
      <c r="HH195" s="49"/>
      <c r="HI195" s="49"/>
      <c r="HJ195" s="49"/>
      <c r="HK195" s="49"/>
      <c r="HL195" s="49"/>
      <c r="HM195" s="49"/>
      <c r="HN195" s="49"/>
      <c r="HO195" s="49"/>
      <c r="HP195" s="49"/>
      <c r="HQ195" s="49"/>
      <c r="HR195" s="49"/>
      <c r="HS195" s="49"/>
    </row>
    <row r="196" spans="1:227" s="15" customFormat="1" ht="36">
      <c r="A196" s="96" t="s">
        <v>295</v>
      </c>
      <c r="D196" s="15" t="s">
        <v>18</v>
      </c>
      <c r="G196" s="230"/>
      <c r="H196" s="136" t="s">
        <v>460</v>
      </c>
      <c r="I196" s="477"/>
      <c r="J196" s="473" t="s">
        <v>503</v>
      </c>
      <c r="K196" s="477"/>
      <c r="L196" s="475"/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  <c r="AA196" s="111"/>
      <c r="AB196" s="111"/>
      <c r="AC196" s="111"/>
      <c r="AD196" s="111"/>
      <c r="AE196" s="111"/>
      <c r="AF196" s="111"/>
      <c r="AG196" s="111"/>
      <c r="AH196" s="111"/>
      <c r="AI196" s="111"/>
      <c r="AJ196" s="111"/>
      <c r="AK196" s="111"/>
      <c r="AL196" s="111"/>
      <c r="AM196" s="111"/>
      <c r="AN196" s="111"/>
      <c r="AO196" s="111"/>
      <c r="AP196" s="111"/>
      <c r="AQ196" s="111"/>
      <c r="AR196" s="111"/>
      <c r="AS196" s="111"/>
      <c r="AT196" s="111"/>
      <c r="AU196" s="111"/>
      <c r="AV196" s="111"/>
      <c r="AW196" s="111"/>
      <c r="AX196" s="111"/>
      <c r="AY196" s="111"/>
      <c r="AZ196" s="111"/>
      <c r="BA196" s="111"/>
      <c r="BB196" s="111"/>
      <c r="BC196" s="111"/>
      <c r="BD196" s="111"/>
      <c r="BE196" s="111"/>
      <c r="BF196" s="111"/>
      <c r="BG196" s="111"/>
      <c r="BH196" s="111"/>
      <c r="BI196" s="111"/>
      <c r="BJ196" s="111"/>
      <c r="BK196" s="111"/>
      <c r="BL196" s="111"/>
      <c r="BM196" s="111"/>
      <c r="BN196" s="111"/>
      <c r="BO196" s="111"/>
      <c r="BP196" s="111"/>
      <c r="BQ196" s="111"/>
      <c r="BR196" s="111"/>
      <c r="BS196" s="111"/>
      <c r="BT196" s="111"/>
      <c r="BU196" s="111"/>
      <c r="BV196" s="111"/>
      <c r="BW196" s="111"/>
      <c r="BX196" s="111"/>
      <c r="BY196" s="111"/>
      <c r="BZ196" s="111"/>
      <c r="CA196" s="111"/>
      <c r="CB196" s="111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49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  <c r="DI196" s="49"/>
      <c r="DJ196" s="49"/>
      <c r="DK196" s="49"/>
      <c r="DL196" s="49"/>
      <c r="DM196" s="49"/>
      <c r="DN196" s="49"/>
      <c r="DO196" s="49"/>
      <c r="DP196" s="49"/>
      <c r="DQ196" s="49"/>
      <c r="DR196" s="49"/>
      <c r="DS196" s="49"/>
      <c r="DT196" s="49"/>
      <c r="DU196" s="49"/>
      <c r="DV196" s="49"/>
      <c r="DW196" s="49"/>
      <c r="DX196" s="49"/>
      <c r="DY196" s="49"/>
      <c r="DZ196" s="49"/>
      <c r="EA196" s="49"/>
      <c r="EB196" s="49"/>
      <c r="EC196" s="49"/>
      <c r="ED196" s="49"/>
      <c r="EE196" s="49"/>
      <c r="EF196" s="49"/>
      <c r="EG196" s="49"/>
      <c r="EH196" s="49"/>
      <c r="EI196" s="49"/>
      <c r="EJ196" s="49"/>
      <c r="EK196" s="49"/>
      <c r="EL196" s="49"/>
      <c r="EM196" s="49"/>
      <c r="EN196" s="49"/>
      <c r="EO196" s="49"/>
      <c r="EP196" s="49"/>
      <c r="EQ196" s="49"/>
      <c r="ER196" s="49"/>
      <c r="ES196" s="49"/>
      <c r="ET196" s="49"/>
      <c r="EU196" s="49"/>
      <c r="EV196" s="49"/>
      <c r="EW196" s="49"/>
      <c r="EX196" s="49"/>
      <c r="EY196" s="49"/>
      <c r="EZ196" s="49"/>
      <c r="FA196" s="49"/>
      <c r="FB196" s="49"/>
      <c r="FC196" s="49"/>
      <c r="FD196" s="49"/>
      <c r="FE196" s="49"/>
      <c r="FF196" s="49"/>
      <c r="FG196" s="49"/>
      <c r="FH196" s="49"/>
      <c r="FI196" s="49"/>
      <c r="FJ196" s="49"/>
      <c r="FK196" s="49"/>
      <c r="FL196" s="49"/>
      <c r="FM196" s="49"/>
      <c r="FN196" s="49"/>
      <c r="FO196" s="49"/>
      <c r="FP196" s="49"/>
      <c r="FQ196" s="49"/>
      <c r="FR196" s="49"/>
      <c r="FS196" s="49"/>
      <c r="FT196" s="49"/>
      <c r="FU196" s="49"/>
      <c r="FV196" s="49"/>
      <c r="FW196" s="49"/>
      <c r="FX196" s="49"/>
      <c r="FY196" s="49"/>
      <c r="FZ196" s="49"/>
      <c r="GA196" s="49"/>
      <c r="GB196" s="49"/>
      <c r="GC196" s="49"/>
      <c r="GD196" s="49"/>
      <c r="GE196" s="49"/>
      <c r="GF196" s="49"/>
      <c r="GG196" s="49"/>
      <c r="GH196" s="49"/>
      <c r="GI196" s="49"/>
      <c r="GJ196" s="49"/>
      <c r="GK196" s="49"/>
      <c r="GL196" s="49"/>
      <c r="GM196" s="49"/>
      <c r="GN196" s="49"/>
      <c r="GO196" s="49"/>
      <c r="GP196" s="49"/>
      <c r="GQ196" s="49"/>
      <c r="GR196" s="49"/>
      <c r="GS196" s="49"/>
      <c r="GT196" s="49"/>
      <c r="GU196" s="49"/>
      <c r="GV196" s="49"/>
      <c r="GW196" s="49"/>
      <c r="GX196" s="49"/>
      <c r="GY196" s="49"/>
      <c r="GZ196" s="49"/>
      <c r="HA196" s="49"/>
      <c r="HB196" s="49"/>
      <c r="HC196" s="49"/>
      <c r="HD196" s="49"/>
      <c r="HE196" s="49"/>
      <c r="HF196" s="49"/>
      <c r="HG196" s="49"/>
      <c r="HH196" s="49"/>
      <c r="HI196" s="49"/>
      <c r="HJ196" s="49"/>
      <c r="HK196" s="49"/>
      <c r="HL196" s="49"/>
      <c r="HM196" s="49"/>
      <c r="HN196" s="49"/>
      <c r="HO196" s="49"/>
      <c r="HP196" s="49"/>
      <c r="HQ196" s="49"/>
      <c r="HR196" s="49"/>
      <c r="HS196" s="49"/>
    </row>
    <row r="197" spans="1:227" s="15" customFormat="1" ht="12">
      <c r="A197" s="96"/>
      <c r="C197" s="15" t="s">
        <v>15</v>
      </c>
      <c r="G197" s="230"/>
      <c r="H197" s="136"/>
      <c r="I197" s="477"/>
      <c r="J197" s="477"/>
      <c r="K197" s="477"/>
      <c r="L197" s="475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  <c r="Y197" s="111"/>
      <c r="Z197" s="111"/>
      <c r="AA197" s="111"/>
      <c r="AB197" s="111"/>
      <c r="AC197" s="111"/>
      <c r="AD197" s="111"/>
      <c r="AE197" s="111"/>
      <c r="AF197" s="111"/>
      <c r="AG197" s="111"/>
      <c r="AH197" s="111"/>
      <c r="AI197" s="111"/>
      <c r="AJ197" s="111"/>
      <c r="AK197" s="111"/>
      <c r="AL197" s="111"/>
      <c r="AM197" s="111"/>
      <c r="AN197" s="111"/>
      <c r="AO197" s="111"/>
      <c r="AP197" s="111"/>
      <c r="AQ197" s="111"/>
      <c r="AR197" s="111"/>
      <c r="AS197" s="111"/>
      <c r="AT197" s="111"/>
      <c r="AU197" s="111"/>
      <c r="AV197" s="111"/>
      <c r="AW197" s="111"/>
      <c r="AX197" s="111"/>
      <c r="AY197" s="111"/>
      <c r="AZ197" s="111"/>
      <c r="BA197" s="111"/>
      <c r="BB197" s="111"/>
      <c r="BC197" s="111"/>
      <c r="BD197" s="111"/>
      <c r="BE197" s="111"/>
      <c r="BF197" s="111"/>
      <c r="BG197" s="111"/>
      <c r="BH197" s="111"/>
      <c r="BI197" s="111"/>
      <c r="BJ197" s="111"/>
      <c r="BK197" s="111"/>
      <c r="BL197" s="111"/>
      <c r="BM197" s="111"/>
      <c r="BN197" s="111"/>
      <c r="BO197" s="111"/>
      <c r="BP197" s="111"/>
      <c r="BQ197" s="111"/>
      <c r="BR197" s="111"/>
      <c r="BS197" s="111"/>
      <c r="BT197" s="111"/>
      <c r="BU197" s="111"/>
      <c r="BV197" s="111"/>
      <c r="BW197" s="111"/>
      <c r="BX197" s="111"/>
      <c r="BY197" s="111"/>
      <c r="BZ197" s="111"/>
      <c r="CA197" s="111"/>
      <c r="CB197" s="111"/>
      <c r="CC197" s="49"/>
      <c r="CD197" s="49"/>
      <c r="CE197" s="49"/>
      <c r="CF197" s="49"/>
      <c r="CG197" s="49"/>
      <c r="CH197" s="49"/>
      <c r="CI197" s="49"/>
      <c r="CJ197" s="49"/>
      <c r="CK197" s="49"/>
      <c r="CL197" s="49"/>
      <c r="CM197" s="49"/>
      <c r="CN197" s="49"/>
      <c r="CO197" s="49"/>
      <c r="CP197" s="49"/>
      <c r="CQ197" s="49"/>
      <c r="CR197" s="49"/>
      <c r="CS197" s="49"/>
      <c r="CT197" s="49"/>
      <c r="CU197" s="49"/>
      <c r="CV197" s="49"/>
      <c r="CW197" s="49"/>
      <c r="CX197" s="49"/>
      <c r="CY197" s="49"/>
      <c r="CZ197" s="49"/>
      <c r="DA197" s="49"/>
      <c r="DB197" s="49"/>
      <c r="DC197" s="49"/>
      <c r="DD197" s="49"/>
      <c r="DE197" s="49"/>
      <c r="DF197" s="49"/>
      <c r="DG197" s="49"/>
      <c r="DH197" s="49"/>
      <c r="DI197" s="49"/>
      <c r="DJ197" s="49"/>
      <c r="DK197" s="49"/>
      <c r="DL197" s="49"/>
      <c r="DM197" s="49"/>
      <c r="DN197" s="49"/>
      <c r="DO197" s="49"/>
      <c r="DP197" s="49"/>
      <c r="DQ197" s="49"/>
      <c r="DR197" s="49"/>
      <c r="DS197" s="49"/>
      <c r="DT197" s="49"/>
      <c r="DU197" s="49"/>
      <c r="DV197" s="49"/>
      <c r="DW197" s="49"/>
      <c r="DX197" s="49"/>
      <c r="DY197" s="49"/>
      <c r="DZ197" s="49"/>
      <c r="EA197" s="49"/>
      <c r="EB197" s="49"/>
      <c r="EC197" s="49"/>
      <c r="ED197" s="49"/>
      <c r="EE197" s="49"/>
      <c r="EF197" s="49"/>
      <c r="EG197" s="49"/>
      <c r="EH197" s="49"/>
      <c r="EI197" s="49"/>
      <c r="EJ197" s="49"/>
      <c r="EK197" s="49"/>
      <c r="EL197" s="49"/>
      <c r="EM197" s="49"/>
      <c r="EN197" s="49"/>
      <c r="EO197" s="49"/>
      <c r="EP197" s="49"/>
      <c r="EQ197" s="49"/>
      <c r="ER197" s="49"/>
      <c r="ES197" s="49"/>
      <c r="ET197" s="49"/>
      <c r="EU197" s="49"/>
      <c r="EV197" s="49"/>
      <c r="EW197" s="49"/>
      <c r="EX197" s="49"/>
      <c r="EY197" s="49"/>
      <c r="EZ197" s="49"/>
      <c r="FA197" s="49"/>
      <c r="FB197" s="49"/>
      <c r="FC197" s="49"/>
      <c r="FD197" s="49"/>
      <c r="FE197" s="49"/>
      <c r="FF197" s="49"/>
      <c r="FG197" s="49"/>
      <c r="FH197" s="49"/>
      <c r="FI197" s="49"/>
      <c r="FJ197" s="49"/>
      <c r="FK197" s="49"/>
      <c r="FL197" s="49"/>
      <c r="FM197" s="49"/>
      <c r="FN197" s="49"/>
      <c r="FO197" s="49"/>
      <c r="FP197" s="49"/>
      <c r="FQ197" s="49"/>
      <c r="FR197" s="49"/>
      <c r="FS197" s="49"/>
      <c r="FT197" s="49"/>
      <c r="FU197" s="49"/>
      <c r="FV197" s="49"/>
      <c r="FW197" s="49"/>
      <c r="FX197" s="49"/>
      <c r="FY197" s="49"/>
      <c r="FZ197" s="49"/>
      <c r="GA197" s="49"/>
      <c r="GB197" s="49"/>
      <c r="GC197" s="49"/>
      <c r="GD197" s="49"/>
      <c r="GE197" s="49"/>
      <c r="GF197" s="49"/>
      <c r="GG197" s="49"/>
      <c r="GH197" s="49"/>
      <c r="GI197" s="49"/>
      <c r="GJ197" s="49"/>
      <c r="GK197" s="49"/>
      <c r="GL197" s="49"/>
      <c r="GM197" s="49"/>
      <c r="GN197" s="49"/>
      <c r="GO197" s="49"/>
      <c r="GP197" s="49"/>
      <c r="GQ197" s="49"/>
      <c r="GR197" s="49"/>
      <c r="GS197" s="49"/>
      <c r="GT197" s="49"/>
      <c r="GU197" s="49"/>
      <c r="GV197" s="49"/>
      <c r="GW197" s="49"/>
      <c r="GX197" s="49"/>
      <c r="GY197" s="49"/>
      <c r="GZ197" s="49"/>
      <c r="HA197" s="49"/>
      <c r="HB197" s="49"/>
      <c r="HC197" s="49"/>
      <c r="HD197" s="49"/>
      <c r="HE197" s="49"/>
      <c r="HF197" s="49"/>
      <c r="HG197" s="49"/>
      <c r="HH197" s="49"/>
      <c r="HI197" s="49"/>
      <c r="HJ197" s="49"/>
      <c r="HK197" s="49"/>
      <c r="HL197" s="49"/>
      <c r="HM197" s="49"/>
      <c r="HN197" s="49"/>
      <c r="HO197" s="49"/>
      <c r="HP197" s="49"/>
      <c r="HQ197" s="49"/>
      <c r="HR197" s="49"/>
      <c r="HS197" s="49"/>
    </row>
    <row r="198" spans="1:227" s="15" customFormat="1" ht="12">
      <c r="A198" s="96" t="s">
        <v>296</v>
      </c>
      <c r="D198" s="15" t="s">
        <v>17</v>
      </c>
      <c r="G198" s="230"/>
      <c r="H198" s="127"/>
      <c r="I198" s="477"/>
      <c r="J198" s="477"/>
      <c r="K198" s="477"/>
      <c r="L198" s="475"/>
      <c r="M198" s="111"/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  <c r="AA198" s="111"/>
      <c r="AB198" s="111"/>
      <c r="AC198" s="111"/>
      <c r="AD198" s="111"/>
      <c r="AE198" s="111"/>
      <c r="AF198" s="111"/>
      <c r="AG198" s="111"/>
      <c r="AH198" s="111"/>
      <c r="AI198" s="111"/>
      <c r="AJ198" s="111"/>
      <c r="AK198" s="111"/>
      <c r="AL198" s="111"/>
      <c r="AM198" s="111"/>
      <c r="AN198" s="111"/>
      <c r="AO198" s="111"/>
      <c r="AP198" s="111"/>
      <c r="AQ198" s="111"/>
      <c r="AR198" s="111"/>
      <c r="AS198" s="111"/>
      <c r="AT198" s="111"/>
      <c r="AU198" s="111"/>
      <c r="AV198" s="111"/>
      <c r="AW198" s="111"/>
      <c r="AX198" s="111"/>
      <c r="AY198" s="111"/>
      <c r="AZ198" s="111"/>
      <c r="BA198" s="111"/>
      <c r="BB198" s="111"/>
      <c r="BC198" s="111"/>
      <c r="BD198" s="111"/>
      <c r="BE198" s="111"/>
      <c r="BF198" s="111"/>
      <c r="BG198" s="111"/>
      <c r="BH198" s="111"/>
      <c r="BI198" s="111"/>
      <c r="BJ198" s="111"/>
      <c r="BK198" s="111"/>
      <c r="BL198" s="111"/>
      <c r="BM198" s="111"/>
      <c r="BN198" s="111"/>
      <c r="BO198" s="111"/>
      <c r="BP198" s="111"/>
      <c r="BQ198" s="111"/>
      <c r="BR198" s="111"/>
      <c r="BS198" s="111"/>
      <c r="BT198" s="111"/>
      <c r="BU198" s="111"/>
      <c r="BV198" s="111"/>
      <c r="BW198" s="111"/>
      <c r="BX198" s="111"/>
      <c r="BY198" s="111"/>
      <c r="BZ198" s="111"/>
      <c r="CA198" s="111"/>
      <c r="CB198" s="111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  <c r="CQ198" s="49"/>
      <c r="CR198" s="49"/>
      <c r="CS198" s="49"/>
      <c r="CT198" s="49"/>
      <c r="CU198" s="49"/>
      <c r="CV198" s="49"/>
      <c r="CW198" s="49"/>
      <c r="CX198" s="49"/>
      <c r="CY198" s="49"/>
      <c r="CZ198" s="49"/>
      <c r="DA198" s="49"/>
      <c r="DB198" s="49"/>
      <c r="DC198" s="49"/>
      <c r="DD198" s="49"/>
      <c r="DE198" s="49"/>
      <c r="DF198" s="49"/>
      <c r="DG198" s="49"/>
      <c r="DH198" s="49"/>
      <c r="DI198" s="49"/>
      <c r="DJ198" s="49"/>
      <c r="DK198" s="49"/>
      <c r="DL198" s="49"/>
      <c r="DM198" s="49"/>
      <c r="DN198" s="49"/>
      <c r="DO198" s="49"/>
      <c r="DP198" s="49"/>
      <c r="DQ198" s="49"/>
      <c r="DR198" s="49"/>
      <c r="DS198" s="49"/>
      <c r="DT198" s="49"/>
      <c r="DU198" s="49"/>
      <c r="DV198" s="49"/>
      <c r="DW198" s="49"/>
      <c r="DX198" s="49"/>
      <c r="DY198" s="49"/>
      <c r="DZ198" s="49"/>
      <c r="EA198" s="49"/>
      <c r="EB198" s="49"/>
      <c r="EC198" s="49"/>
      <c r="ED198" s="49"/>
      <c r="EE198" s="49"/>
      <c r="EF198" s="49"/>
      <c r="EG198" s="49"/>
      <c r="EH198" s="49"/>
      <c r="EI198" s="49"/>
      <c r="EJ198" s="49"/>
      <c r="EK198" s="49"/>
      <c r="EL198" s="49"/>
      <c r="EM198" s="49"/>
      <c r="EN198" s="49"/>
      <c r="EO198" s="49"/>
      <c r="EP198" s="49"/>
      <c r="EQ198" s="49"/>
      <c r="ER198" s="49"/>
      <c r="ES198" s="49"/>
      <c r="ET198" s="49"/>
      <c r="EU198" s="49"/>
      <c r="EV198" s="49"/>
      <c r="EW198" s="49"/>
      <c r="EX198" s="49"/>
      <c r="EY198" s="49"/>
      <c r="EZ198" s="49"/>
      <c r="FA198" s="49"/>
      <c r="FB198" s="49"/>
      <c r="FC198" s="49"/>
      <c r="FD198" s="49"/>
      <c r="FE198" s="49"/>
      <c r="FF198" s="49"/>
      <c r="FG198" s="49"/>
      <c r="FH198" s="49"/>
      <c r="FI198" s="49"/>
      <c r="FJ198" s="49"/>
      <c r="FK198" s="49"/>
      <c r="FL198" s="49"/>
      <c r="FM198" s="49"/>
      <c r="FN198" s="49"/>
      <c r="FO198" s="49"/>
      <c r="FP198" s="49"/>
      <c r="FQ198" s="49"/>
      <c r="FR198" s="49"/>
      <c r="FS198" s="49"/>
      <c r="FT198" s="49"/>
      <c r="FU198" s="49"/>
      <c r="FV198" s="49"/>
      <c r="FW198" s="49"/>
      <c r="FX198" s="49"/>
      <c r="FY198" s="49"/>
      <c r="FZ198" s="49"/>
      <c r="GA198" s="49"/>
      <c r="GB198" s="49"/>
      <c r="GC198" s="49"/>
      <c r="GD198" s="49"/>
      <c r="GE198" s="49"/>
      <c r="GF198" s="49"/>
      <c r="GG198" s="49"/>
      <c r="GH198" s="49"/>
      <c r="GI198" s="49"/>
      <c r="GJ198" s="49"/>
      <c r="GK198" s="49"/>
      <c r="GL198" s="49"/>
      <c r="GM198" s="49"/>
      <c r="GN198" s="49"/>
      <c r="GO198" s="49"/>
      <c r="GP198" s="49"/>
      <c r="GQ198" s="49"/>
      <c r="GR198" s="49"/>
      <c r="GS198" s="49"/>
      <c r="GT198" s="49"/>
      <c r="GU198" s="49"/>
      <c r="GV198" s="49"/>
      <c r="GW198" s="49"/>
      <c r="GX198" s="49"/>
      <c r="GY198" s="49"/>
      <c r="GZ198" s="49"/>
      <c r="HA198" s="49"/>
      <c r="HB198" s="49"/>
      <c r="HC198" s="49"/>
      <c r="HD198" s="49"/>
      <c r="HE198" s="49"/>
      <c r="HF198" s="49"/>
      <c r="HG198" s="49"/>
      <c r="HH198" s="49"/>
      <c r="HI198" s="49"/>
      <c r="HJ198" s="49"/>
      <c r="HK198" s="49"/>
      <c r="HL198" s="49"/>
      <c r="HM198" s="49"/>
      <c r="HN198" s="49"/>
      <c r="HO198" s="49"/>
      <c r="HP198" s="49"/>
      <c r="HQ198" s="49"/>
      <c r="HR198" s="49"/>
      <c r="HS198" s="49"/>
    </row>
    <row r="199" spans="1:227" s="15" customFormat="1" ht="12">
      <c r="A199" s="96" t="s">
        <v>297</v>
      </c>
      <c r="D199" s="15" t="s">
        <v>19</v>
      </c>
      <c r="G199" s="230"/>
      <c r="H199" s="136"/>
      <c r="I199" s="477"/>
      <c r="J199" s="477"/>
      <c r="K199" s="477"/>
      <c r="L199" s="475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  <c r="AA199" s="111"/>
      <c r="AB199" s="111"/>
      <c r="AC199" s="111"/>
      <c r="AD199" s="111"/>
      <c r="AE199" s="111"/>
      <c r="AF199" s="111"/>
      <c r="AG199" s="111"/>
      <c r="AH199" s="111"/>
      <c r="AI199" s="111"/>
      <c r="AJ199" s="111"/>
      <c r="AK199" s="111"/>
      <c r="AL199" s="111"/>
      <c r="AM199" s="111"/>
      <c r="AN199" s="111"/>
      <c r="AO199" s="111"/>
      <c r="AP199" s="111"/>
      <c r="AQ199" s="111"/>
      <c r="AR199" s="111"/>
      <c r="AS199" s="111"/>
      <c r="AT199" s="111"/>
      <c r="AU199" s="111"/>
      <c r="AV199" s="111"/>
      <c r="AW199" s="111"/>
      <c r="AX199" s="111"/>
      <c r="AY199" s="111"/>
      <c r="AZ199" s="111"/>
      <c r="BA199" s="111"/>
      <c r="BB199" s="111"/>
      <c r="BC199" s="111"/>
      <c r="BD199" s="111"/>
      <c r="BE199" s="111"/>
      <c r="BF199" s="111"/>
      <c r="BG199" s="111"/>
      <c r="BH199" s="111"/>
      <c r="BI199" s="111"/>
      <c r="BJ199" s="111"/>
      <c r="BK199" s="111"/>
      <c r="BL199" s="111"/>
      <c r="BM199" s="111"/>
      <c r="BN199" s="111"/>
      <c r="BO199" s="111"/>
      <c r="BP199" s="111"/>
      <c r="BQ199" s="111"/>
      <c r="BR199" s="111"/>
      <c r="BS199" s="111"/>
      <c r="BT199" s="111"/>
      <c r="BU199" s="111"/>
      <c r="BV199" s="111"/>
      <c r="BW199" s="111"/>
      <c r="BX199" s="111"/>
      <c r="BY199" s="111"/>
      <c r="BZ199" s="111"/>
      <c r="CA199" s="111"/>
      <c r="CB199" s="111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49"/>
      <c r="CT199" s="49"/>
      <c r="CU199" s="49"/>
      <c r="CV199" s="49"/>
      <c r="CW199" s="49"/>
      <c r="CX199" s="49"/>
      <c r="CY199" s="49"/>
      <c r="CZ199" s="49"/>
      <c r="DA199" s="49"/>
      <c r="DB199" s="49"/>
      <c r="DC199" s="49"/>
      <c r="DD199" s="49"/>
      <c r="DE199" s="49"/>
      <c r="DF199" s="49"/>
      <c r="DG199" s="49"/>
      <c r="DH199" s="49"/>
      <c r="DI199" s="49"/>
      <c r="DJ199" s="49"/>
      <c r="DK199" s="49"/>
      <c r="DL199" s="49"/>
      <c r="DM199" s="49"/>
      <c r="DN199" s="49"/>
      <c r="DO199" s="49"/>
      <c r="DP199" s="49"/>
      <c r="DQ199" s="49"/>
      <c r="DR199" s="49"/>
      <c r="DS199" s="49"/>
      <c r="DT199" s="49"/>
      <c r="DU199" s="49"/>
      <c r="DV199" s="49"/>
      <c r="DW199" s="49"/>
      <c r="DX199" s="49"/>
      <c r="DY199" s="49"/>
      <c r="DZ199" s="49"/>
      <c r="EA199" s="49"/>
      <c r="EB199" s="49"/>
      <c r="EC199" s="49"/>
      <c r="ED199" s="49"/>
      <c r="EE199" s="49"/>
      <c r="EF199" s="49"/>
      <c r="EG199" s="49"/>
      <c r="EH199" s="49"/>
      <c r="EI199" s="49"/>
      <c r="EJ199" s="49"/>
      <c r="EK199" s="49"/>
      <c r="EL199" s="49"/>
      <c r="EM199" s="49"/>
      <c r="EN199" s="49"/>
      <c r="EO199" s="49"/>
      <c r="EP199" s="49"/>
      <c r="EQ199" s="49"/>
      <c r="ER199" s="49"/>
      <c r="ES199" s="49"/>
      <c r="ET199" s="49"/>
      <c r="EU199" s="49"/>
      <c r="EV199" s="49"/>
      <c r="EW199" s="49"/>
      <c r="EX199" s="49"/>
      <c r="EY199" s="49"/>
      <c r="EZ199" s="49"/>
      <c r="FA199" s="49"/>
      <c r="FB199" s="49"/>
      <c r="FC199" s="49"/>
      <c r="FD199" s="49"/>
      <c r="FE199" s="49"/>
      <c r="FF199" s="49"/>
      <c r="FG199" s="49"/>
      <c r="FH199" s="49"/>
      <c r="FI199" s="49"/>
      <c r="FJ199" s="49"/>
      <c r="FK199" s="49"/>
      <c r="FL199" s="49"/>
      <c r="FM199" s="49"/>
      <c r="FN199" s="49"/>
      <c r="FO199" s="49"/>
      <c r="FP199" s="49"/>
      <c r="FQ199" s="49"/>
      <c r="FR199" s="49"/>
      <c r="FS199" s="49"/>
      <c r="FT199" s="49"/>
      <c r="FU199" s="49"/>
      <c r="FV199" s="49"/>
      <c r="FW199" s="49"/>
      <c r="FX199" s="49"/>
      <c r="FY199" s="49"/>
      <c r="FZ199" s="49"/>
      <c r="GA199" s="49"/>
      <c r="GB199" s="49"/>
      <c r="GC199" s="49"/>
      <c r="GD199" s="49"/>
      <c r="GE199" s="49"/>
      <c r="GF199" s="49"/>
      <c r="GG199" s="49"/>
      <c r="GH199" s="49"/>
      <c r="GI199" s="49"/>
      <c r="GJ199" s="49"/>
      <c r="GK199" s="49"/>
      <c r="GL199" s="49"/>
      <c r="GM199" s="49"/>
      <c r="GN199" s="49"/>
      <c r="GO199" s="49"/>
      <c r="GP199" s="49"/>
      <c r="GQ199" s="49"/>
      <c r="GR199" s="49"/>
      <c r="GS199" s="49"/>
      <c r="GT199" s="49"/>
      <c r="GU199" s="49"/>
      <c r="GV199" s="49"/>
      <c r="GW199" s="49"/>
      <c r="GX199" s="49"/>
      <c r="GY199" s="49"/>
      <c r="GZ199" s="49"/>
      <c r="HA199" s="49"/>
      <c r="HB199" s="49"/>
      <c r="HC199" s="49"/>
      <c r="HD199" s="49"/>
      <c r="HE199" s="49"/>
      <c r="HF199" s="49"/>
      <c r="HG199" s="49"/>
      <c r="HH199" s="49"/>
      <c r="HI199" s="49"/>
      <c r="HJ199" s="49"/>
      <c r="HK199" s="49"/>
      <c r="HL199" s="49"/>
      <c r="HM199" s="49"/>
      <c r="HN199" s="49"/>
      <c r="HO199" s="49"/>
      <c r="HP199" s="49"/>
      <c r="HQ199" s="49"/>
      <c r="HR199" s="49"/>
      <c r="HS199" s="49"/>
    </row>
    <row r="200" spans="1:227" s="15" customFormat="1" ht="12">
      <c r="A200" s="96"/>
      <c r="C200" s="15" t="s">
        <v>20</v>
      </c>
      <c r="G200" s="230"/>
      <c r="H200" s="136"/>
      <c r="I200" s="477"/>
      <c r="J200" s="477"/>
      <c r="K200" s="477"/>
      <c r="L200" s="475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  <c r="AA200" s="111"/>
      <c r="AB200" s="111"/>
      <c r="AC200" s="111"/>
      <c r="AD200" s="111"/>
      <c r="AE200" s="111"/>
      <c r="AF200" s="111"/>
      <c r="AG200" s="111"/>
      <c r="AH200" s="111"/>
      <c r="AI200" s="111"/>
      <c r="AJ200" s="111"/>
      <c r="AK200" s="111"/>
      <c r="AL200" s="111"/>
      <c r="AM200" s="111"/>
      <c r="AN200" s="111"/>
      <c r="AO200" s="111"/>
      <c r="AP200" s="111"/>
      <c r="AQ200" s="111"/>
      <c r="AR200" s="111"/>
      <c r="AS200" s="111"/>
      <c r="AT200" s="111"/>
      <c r="AU200" s="111"/>
      <c r="AV200" s="111"/>
      <c r="AW200" s="111"/>
      <c r="AX200" s="111"/>
      <c r="AY200" s="111"/>
      <c r="AZ200" s="111"/>
      <c r="BA200" s="111"/>
      <c r="BB200" s="111"/>
      <c r="BC200" s="111"/>
      <c r="BD200" s="111"/>
      <c r="BE200" s="111"/>
      <c r="BF200" s="111"/>
      <c r="BG200" s="111"/>
      <c r="BH200" s="111"/>
      <c r="BI200" s="111"/>
      <c r="BJ200" s="111"/>
      <c r="BK200" s="111"/>
      <c r="BL200" s="111"/>
      <c r="BM200" s="111"/>
      <c r="BN200" s="111"/>
      <c r="BO200" s="111"/>
      <c r="BP200" s="111"/>
      <c r="BQ200" s="111"/>
      <c r="BR200" s="111"/>
      <c r="BS200" s="111"/>
      <c r="BT200" s="111"/>
      <c r="BU200" s="111"/>
      <c r="BV200" s="111"/>
      <c r="BW200" s="111"/>
      <c r="BX200" s="111"/>
      <c r="BY200" s="111"/>
      <c r="BZ200" s="111"/>
      <c r="CA200" s="111"/>
      <c r="CB200" s="111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49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  <c r="DD200" s="49"/>
      <c r="DE200" s="49"/>
      <c r="DF200" s="49"/>
      <c r="DG200" s="49"/>
      <c r="DH200" s="49"/>
      <c r="DI200" s="49"/>
      <c r="DJ200" s="49"/>
      <c r="DK200" s="49"/>
      <c r="DL200" s="49"/>
      <c r="DM200" s="49"/>
      <c r="DN200" s="49"/>
      <c r="DO200" s="49"/>
      <c r="DP200" s="49"/>
      <c r="DQ200" s="49"/>
      <c r="DR200" s="49"/>
      <c r="DS200" s="49"/>
      <c r="DT200" s="49"/>
      <c r="DU200" s="49"/>
      <c r="DV200" s="49"/>
      <c r="DW200" s="49"/>
      <c r="DX200" s="49"/>
      <c r="DY200" s="49"/>
      <c r="DZ200" s="49"/>
      <c r="EA200" s="49"/>
      <c r="EB200" s="49"/>
      <c r="EC200" s="49"/>
      <c r="ED200" s="49"/>
      <c r="EE200" s="49"/>
      <c r="EF200" s="49"/>
      <c r="EG200" s="49"/>
      <c r="EH200" s="49"/>
      <c r="EI200" s="49"/>
      <c r="EJ200" s="49"/>
      <c r="EK200" s="49"/>
      <c r="EL200" s="49"/>
      <c r="EM200" s="49"/>
      <c r="EN200" s="49"/>
      <c r="EO200" s="49"/>
      <c r="EP200" s="49"/>
      <c r="EQ200" s="49"/>
      <c r="ER200" s="49"/>
      <c r="ES200" s="49"/>
      <c r="ET200" s="49"/>
      <c r="EU200" s="49"/>
      <c r="EV200" s="49"/>
      <c r="EW200" s="49"/>
      <c r="EX200" s="49"/>
      <c r="EY200" s="49"/>
      <c r="EZ200" s="49"/>
      <c r="FA200" s="49"/>
      <c r="FB200" s="49"/>
      <c r="FC200" s="49"/>
      <c r="FD200" s="49"/>
      <c r="FE200" s="49"/>
      <c r="FF200" s="49"/>
      <c r="FG200" s="49"/>
      <c r="FH200" s="49"/>
      <c r="FI200" s="49"/>
      <c r="FJ200" s="49"/>
      <c r="FK200" s="49"/>
      <c r="FL200" s="49"/>
      <c r="FM200" s="49"/>
      <c r="FN200" s="49"/>
      <c r="FO200" s="49"/>
      <c r="FP200" s="49"/>
      <c r="FQ200" s="49"/>
      <c r="FR200" s="49"/>
      <c r="FS200" s="49"/>
      <c r="FT200" s="49"/>
      <c r="FU200" s="49"/>
      <c r="FV200" s="49"/>
      <c r="FW200" s="49"/>
      <c r="FX200" s="49"/>
      <c r="FY200" s="49"/>
      <c r="FZ200" s="49"/>
      <c r="GA200" s="49"/>
      <c r="GB200" s="49"/>
      <c r="GC200" s="49"/>
      <c r="GD200" s="49"/>
      <c r="GE200" s="49"/>
      <c r="GF200" s="49"/>
      <c r="GG200" s="49"/>
      <c r="GH200" s="49"/>
      <c r="GI200" s="49"/>
      <c r="GJ200" s="49"/>
      <c r="GK200" s="49"/>
      <c r="GL200" s="49"/>
      <c r="GM200" s="49"/>
      <c r="GN200" s="49"/>
      <c r="GO200" s="49"/>
      <c r="GP200" s="49"/>
      <c r="GQ200" s="49"/>
      <c r="GR200" s="49"/>
      <c r="GS200" s="49"/>
      <c r="GT200" s="49"/>
      <c r="GU200" s="49"/>
      <c r="GV200" s="49"/>
      <c r="GW200" s="49"/>
      <c r="GX200" s="49"/>
      <c r="GY200" s="49"/>
      <c r="GZ200" s="49"/>
      <c r="HA200" s="49"/>
      <c r="HB200" s="49"/>
      <c r="HC200" s="49"/>
      <c r="HD200" s="49"/>
      <c r="HE200" s="49"/>
      <c r="HF200" s="49"/>
      <c r="HG200" s="49"/>
      <c r="HH200" s="49"/>
      <c r="HI200" s="49"/>
      <c r="HJ200" s="49"/>
      <c r="HK200" s="49"/>
      <c r="HL200" s="49"/>
      <c r="HM200" s="49"/>
      <c r="HN200" s="49"/>
      <c r="HO200" s="49"/>
      <c r="HP200" s="49"/>
      <c r="HQ200" s="49"/>
      <c r="HR200" s="49"/>
      <c r="HS200" s="49"/>
    </row>
    <row r="201" spans="1:227" s="15" customFormat="1" ht="12">
      <c r="A201" s="96"/>
      <c r="B201" s="86" t="s">
        <v>203</v>
      </c>
      <c r="G201" s="230"/>
      <c r="H201" s="136"/>
      <c r="I201" s="477"/>
      <c r="J201" s="477"/>
      <c r="K201" s="477"/>
      <c r="L201" s="475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  <c r="AA201" s="111"/>
      <c r="AB201" s="111"/>
      <c r="AC201" s="111"/>
      <c r="AD201" s="111"/>
      <c r="AE201" s="111"/>
      <c r="AF201" s="111"/>
      <c r="AG201" s="111"/>
      <c r="AH201" s="111"/>
      <c r="AI201" s="111"/>
      <c r="AJ201" s="111"/>
      <c r="AK201" s="111"/>
      <c r="AL201" s="111"/>
      <c r="AM201" s="111"/>
      <c r="AN201" s="111"/>
      <c r="AO201" s="111"/>
      <c r="AP201" s="111"/>
      <c r="AQ201" s="111"/>
      <c r="AR201" s="111"/>
      <c r="AS201" s="111"/>
      <c r="AT201" s="111"/>
      <c r="AU201" s="111"/>
      <c r="AV201" s="111"/>
      <c r="AW201" s="111"/>
      <c r="AX201" s="111"/>
      <c r="AY201" s="111"/>
      <c r="AZ201" s="111"/>
      <c r="BA201" s="111"/>
      <c r="BB201" s="111"/>
      <c r="BC201" s="111"/>
      <c r="BD201" s="111"/>
      <c r="BE201" s="111"/>
      <c r="BF201" s="111"/>
      <c r="BG201" s="111"/>
      <c r="BH201" s="111"/>
      <c r="BI201" s="111"/>
      <c r="BJ201" s="111"/>
      <c r="BK201" s="111"/>
      <c r="BL201" s="111"/>
      <c r="BM201" s="111"/>
      <c r="BN201" s="111"/>
      <c r="BO201" s="111"/>
      <c r="BP201" s="111"/>
      <c r="BQ201" s="111"/>
      <c r="BR201" s="111"/>
      <c r="BS201" s="111"/>
      <c r="BT201" s="111"/>
      <c r="BU201" s="111"/>
      <c r="BV201" s="111"/>
      <c r="BW201" s="111"/>
      <c r="BX201" s="111"/>
      <c r="BY201" s="111"/>
      <c r="BZ201" s="111"/>
      <c r="CA201" s="111"/>
      <c r="CB201" s="111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49"/>
      <c r="CP201" s="49"/>
      <c r="CQ201" s="49"/>
      <c r="CR201" s="49"/>
      <c r="CS201" s="49"/>
      <c r="CT201" s="49"/>
      <c r="CU201" s="49"/>
      <c r="CV201" s="49"/>
      <c r="CW201" s="49"/>
      <c r="CX201" s="49"/>
      <c r="CY201" s="49"/>
      <c r="CZ201" s="49"/>
      <c r="DA201" s="49"/>
      <c r="DB201" s="49"/>
      <c r="DC201" s="49"/>
      <c r="DD201" s="49"/>
      <c r="DE201" s="49"/>
      <c r="DF201" s="49"/>
      <c r="DG201" s="49"/>
      <c r="DH201" s="49"/>
      <c r="DI201" s="49"/>
      <c r="DJ201" s="49"/>
      <c r="DK201" s="49"/>
      <c r="DL201" s="49"/>
      <c r="DM201" s="49"/>
      <c r="DN201" s="49"/>
      <c r="DO201" s="49"/>
      <c r="DP201" s="49"/>
      <c r="DQ201" s="49"/>
      <c r="DR201" s="49"/>
      <c r="DS201" s="49"/>
      <c r="DT201" s="49"/>
      <c r="DU201" s="49"/>
      <c r="DV201" s="49"/>
      <c r="DW201" s="49"/>
      <c r="DX201" s="49"/>
      <c r="DY201" s="49"/>
      <c r="DZ201" s="49"/>
      <c r="EA201" s="49"/>
      <c r="EB201" s="49"/>
      <c r="EC201" s="49"/>
      <c r="ED201" s="49"/>
      <c r="EE201" s="49"/>
      <c r="EF201" s="49"/>
      <c r="EG201" s="49"/>
      <c r="EH201" s="49"/>
      <c r="EI201" s="49"/>
      <c r="EJ201" s="49"/>
      <c r="EK201" s="49"/>
      <c r="EL201" s="49"/>
      <c r="EM201" s="49"/>
      <c r="EN201" s="49"/>
      <c r="EO201" s="49"/>
      <c r="EP201" s="49"/>
      <c r="EQ201" s="49"/>
      <c r="ER201" s="49"/>
      <c r="ES201" s="49"/>
      <c r="ET201" s="49"/>
      <c r="EU201" s="49"/>
      <c r="EV201" s="49"/>
      <c r="EW201" s="49"/>
      <c r="EX201" s="49"/>
      <c r="EY201" s="49"/>
      <c r="EZ201" s="49"/>
      <c r="FA201" s="49"/>
      <c r="FB201" s="49"/>
      <c r="FC201" s="49"/>
      <c r="FD201" s="49"/>
      <c r="FE201" s="49"/>
      <c r="FF201" s="49"/>
      <c r="FG201" s="49"/>
      <c r="FH201" s="49"/>
      <c r="FI201" s="49"/>
      <c r="FJ201" s="49"/>
      <c r="FK201" s="49"/>
      <c r="FL201" s="49"/>
      <c r="FM201" s="49"/>
      <c r="FN201" s="49"/>
      <c r="FO201" s="49"/>
      <c r="FP201" s="49"/>
      <c r="FQ201" s="49"/>
      <c r="FR201" s="49"/>
      <c r="FS201" s="49"/>
      <c r="FT201" s="49"/>
      <c r="FU201" s="49"/>
      <c r="FV201" s="49"/>
      <c r="FW201" s="49"/>
      <c r="FX201" s="49"/>
      <c r="FY201" s="49"/>
      <c r="FZ201" s="49"/>
      <c r="GA201" s="49"/>
      <c r="GB201" s="49"/>
      <c r="GC201" s="49"/>
      <c r="GD201" s="49"/>
      <c r="GE201" s="49"/>
      <c r="GF201" s="49"/>
      <c r="GG201" s="49"/>
      <c r="GH201" s="49"/>
      <c r="GI201" s="49"/>
      <c r="GJ201" s="49"/>
      <c r="GK201" s="49"/>
      <c r="GL201" s="49"/>
      <c r="GM201" s="49"/>
      <c r="GN201" s="49"/>
      <c r="GO201" s="49"/>
      <c r="GP201" s="49"/>
      <c r="GQ201" s="49"/>
      <c r="GR201" s="49"/>
      <c r="GS201" s="49"/>
      <c r="GT201" s="49"/>
      <c r="GU201" s="49"/>
      <c r="GV201" s="49"/>
      <c r="GW201" s="49"/>
      <c r="GX201" s="49"/>
      <c r="GY201" s="49"/>
      <c r="GZ201" s="49"/>
      <c r="HA201" s="49"/>
      <c r="HB201" s="49"/>
      <c r="HC201" s="49"/>
      <c r="HD201" s="49"/>
      <c r="HE201" s="49"/>
      <c r="HF201" s="49"/>
      <c r="HG201" s="49"/>
      <c r="HH201" s="49"/>
      <c r="HI201" s="49"/>
      <c r="HJ201" s="49"/>
      <c r="HK201" s="49"/>
      <c r="HL201" s="49"/>
      <c r="HM201" s="49"/>
      <c r="HN201" s="49"/>
      <c r="HO201" s="49"/>
      <c r="HP201" s="49"/>
      <c r="HQ201" s="49"/>
      <c r="HR201" s="49"/>
      <c r="HS201" s="49"/>
    </row>
    <row r="202" spans="1:227" s="15" customFormat="1" ht="12">
      <c r="A202" s="354"/>
      <c r="B202" s="230"/>
      <c r="C202" s="230"/>
      <c r="D202" s="230"/>
      <c r="E202" s="230"/>
      <c r="F202" s="230"/>
      <c r="G202" s="230"/>
      <c r="H202" s="136"/>
      <c r="I202" s="477"/>
      <c r="J202" s="477"/>
      <c r="K202" s="477"/>
      <c r="L202" s="475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  <c r="AA202" s="111"/>
      <c r="AB202" s="111"/>
      <c r="AC202" s="111"/>
      <c r="AD202" s="111"/>
      <c r="AE202" s="111"/>
      <c r="AF202" s="111"/>
      <c r="AG202" s="111"/>
      <c r="AH202" s="111"/>
      <c r="AI202" s="111"/>
      <c r="AJ202" s="111"/>
      <c r="AK202" s="111"/>
      <c r="AL202" s="111"/>
      <c r="AM202" s="111"/>
      <c r="AN202" s="111"/>
      <c r="AO202" s="111"/>
      <c r="AP202" s="111"/>
      <c r="AQ202" s="111"/>
      <c r="AR202" s="111"/>
      <c r="AS202" s="111"/>
      <c r="AT202" s="111"/>
      <c r="AU202" s="111"/>
      <c r="AV202" s="111"/>
      <c r="AW202" s="111"/>
      <c r="AX202" s="111"/>
      <c r="AY202" s="111"/>
      <c r="AZ202" s="111"/>
      <c r="BA202" s="111"/>
      <c r="BB202" s="111"/>
      <c r="BC202" s="111"/>
      <c r="BD202" s="111"/>
      <c r="BE202" s="111"/>
      <c r="BF202" s="111"/>
      <c r="BG202" s="111"/>
      <c r="BH202" s="111"/>
      <c r="BI202" s="111"/>
      <c r="BJ202" s="111"/>
      <c r="BK202" s="111"/>
      <c r="BL202" s="111"/>
      <c r="BM202" s="111"/>
      <c r="BN202" s="111"/>
      <c r="BO202" s="111"/>
      <c r="BP202" s="111"/>
      <c r="BQ202" s="111"/>
      <c r="BR202" s="111"/>
      <c r="BS202" s="111"/>
      <c r="BT202" s="111"/>
      <c r="BU202" s="111"/>
      <c r="BV202" s="111"/>
      <c r="BW202" s="111"/>
      <c r="BX202" s="111"/>
      <c r="BY202" s="111"/>
      <c r="BZ202" s="111"/>
      <c r="CA202" s="111"/>
      <c r="CB202" s="111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49"/>
      <c r="CP202" s="49"/>
      <c r="CQ202" s="49"/>
      <c r="CR202" s="49"/>
      <c r="CS202" s="49"/>
      <c r="CT202" s="49"/>
      <c r="CU202" s="49"/>
      <c r="CV202" s="49"/>
      <c r="CW202" s="49"/>
      <c r="CX202" s="49"/>
      <c r="CY202" s="49"/>
      <c r="CZ202" s="49"/>
      <c r="DA202" s="49"/>
      <c r="DB202" s="49"/>
      <c r="DC202" s="49"/>
      <c r="DD202" s="49"/>
      <c r="DE202" s="49"/>
      <c r="DF202" s="49"/>
      <c r="DG202" s="49"/>
      <c r="DH202" s="49"/>
      <c r="DI202" s="49"/>
      <c r="DJ202" s="49"/>
      <c r="DK202" s="49"/>
      <c r="DL202" s="49"/>
      <c r="DM202" s="49"/>
      <c r="DN202" s="49"/>
      <c r="DO202" s="49"/>
      <c r="DP202" s="49"/>
      <c r="DQ202" s="49"/>
      <c r="DR202" s="49"/>
      <c r="DS202" s="49"/>
      <c r="DT202" s="49"/>
      <c r="DU202" s="49"/>
      <c r="DV202" s="49"/>
      <c r="DW202" s="49"/>
      <c r="DX202" s="49"/>
      <c r="DY202" s="49"/>
      <c r="DZ202" s="49"/>
      <c r="EA202" s="49"/>
      <c r="EB202" s="49"/>
      <c r="EC202" s="49"/>
      <c r="ED202" s="49"/>
      <c r="EE202" s="49"/>
      <c r="EF202" s="49"/>
      <c r="EG202" s="49"/>
      <c r="EH202" s="49"/>
      <c r="EI202" s="49"/>
      <c r="EJ202" s="49"/>
      <c r="EK202" s="49"/>
      <c r="EL202" s="49"/>
      <c r="EM202" s="49"/>
      <c r="EN202" s="49"/>
      <c r="EO202" s="49"/>
      <c r="EP202" s="49"/>
      <c r="EQ202" s="49"/>
      <c r="ER202" s="49"/>
      <c r="ES202" s="49"/>
      <c r="ET202" s="49"/>
      <c r="EU202" s="49"/>
      <c r="EV202" s="49"/>
      <c r="EW202" s="49"/>
      <c r="EX202" s="49"/>
      <c r="EY202" s="49"/>
      <c r="EZ202" s="49"/>
      <c r="FA202" s="49"/>
      <c r="FB202" s="49"/>
      <c r="FC202" s="49"/>
      <c r="FD202" s="49"/>
      <c r="FE202" s="49"/>
      <c r="FF202" s="49"/>
      <c r="FG202" s="49"/>
      <c r="FH202" s="49"/>
      <c r="FI202" s="49"/>
      <c r="FJ202" s="49"/>
      <c r="FK202" s="49"/>
      <c r="FL202" s="49"/>
      <c r="FM202" s="49"/>
      <c r="FN202" s="49"/>
      <c r="FO202" s="49"/>
      <c r="FP202" s="49"/>
      <c r="FQ202" s="49"/>
      <c r="FR202" s="49"/>
      <c r="FS202" s="49"/>
      <c r="FT202" s="49"/>
      <c r="FU202" s="49"/>
      <c r="FV202" s="49"/>
      <c r="FW202" s="49"/>
      <c r="FX202" s="49"/>
      <c r="FY202" s="49"/>
      <c r="FZ202" s="49"/>
      <c r="GA202" s="49"/>
      <c r="GB202" s="49"/>
      <c r="GC202" s="49"/>
      <c r="GD202" s="49"/>
      <c r="GE202" s="49"/>
      <c r="GF202" s="49"/>
      <c r="GG202" s="49"/>
      <c r="GH202" s="49"/>
      <c r="GI202" s="49"/>
      <c r="GJ202" s="49"/>
      <c r="GK202" s="49"/>
      <c r="GL202" s="49"/>
      <c r="GM202" s="49"/>
      <c r="GN202" s="49"/>
      <c r="GO202" s="49"/>
      <c r="GP202" s="49"/>
      <c r="GQ202" s="49"/>
      <c r="GR202" s="49"/>
      <c r="GS202" s="49"/>
      <c r="GT202" s="49"/>
      <c r="GU202" s="49"/>
      <c r="GV202" s="49"/>
      <c r="GW202" s="49"/>
      <c r="GX202" s="49"/>
      <c r="GY202" s="49"/>
      <c r="GZ202" s="49"/>
      <c r="HA202" s="49"/>
      <c r="HB202" s="49"/>
      <c r="HC202" s="49"/>
      <c r="HD202" s="49"/>
      <c r="HE202" s="49"/>
      <c r="HF202" s="49"/>
      <c r="HG202" s="49"/>
      <c r="HH202" s="49"/>
      <c r="HI202" s="49"/>
      <c r="HJ202" s="49"/>
      <c r="HK202" s="49"/>
      <c r="HL202" s="49"/>
      <c r="HM202" s="49"/>
      <c r="HN202" s="49"/>
      <c r="HO202" s="49"/>
      <c r="HP202" s="49"/>
      <c r="HQ202" s="49"/>
      <c r="HR202" s="49"/>
      <c r="HS202" s="49"/>
    </row>
    <row r="203" spans="1:227" s="15" customFormat="1" ht="12">
      <c r="A203" s="96" t="s">
        <v>298</v>
      </c>
      <c r="B203" s="86" t="s">
        <v>196</v>
      </c>
      <c r="C203" s="86"/>
      <c r="D203" s="86"/>
      <c r="E203" s="86"/>
      <c r="F203" s="86"/>
      <c r="G203" s="234"/>
      <c r="H203" s="136"/>
      <c r="I203" s="477"/>
      <c r="J203" s="477"/>
      <c r="K203" s="477"/>
      <c r="L203" s="475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  <c r="AA203" s="111"/>
      <c r="AB203" s="111"/>
      <c r="AC203" s="111"/>
      <c r="AD203" s="111"/>
      <c r="AE203" s="111"/>
      <c r="AF203" s="111"/>
      <c r="AG203" s="111"/>
      <c r="AH203" s="111"/>
      <c r="AI203" s="111"/>
      <c r="AJ203" s="111"/>
      <c r="AK203" s="111"/>
      <c r="AL203" s="111"/>
      <c r="AM203" s="111"/>
      <c r="AN203" s="111"/>
      <c r="AO203" s="111"/>
      <c r="AP203" s="111"/>
      <c r="AQ203" s="111"/>
      <c r="AR203" s="111"/>
      <c r="AS203" s="111"/>
      <c r="AT203" s="111"/>
      <c r="AU203" s="111"/>
      <c r="AV203" s="111"/>
      <c r="AW203" s="111"/>
      <c r="AX203" s="111"/>
      <c r="AY203" s="111"/>
      <c r="AZ203" s="111"/>
      <c r="BA203" s="111"/>
      <c r="BB203" s="111"/>
      <c r="BC203" s="111"/>
      <c r="BD203" s="111"/>
      <c r="BE203" s="111"/>
      <c r="BF203" s="111"/>
      <c r="BG203" s="111"/>
      <c r="BH203" s="111"/>
      <c r="BI203" s="111"/>
      <c r="BJ203" s="111"/>
      <c r="BK203" s="111"/>
      <c r="BL203" s="111"/>
      <c r="BM203" s="111"/>
      <c r="BN203" s="111"/>
      <c r="BO203" s="111"/>
      <c r="BP203" s="111"/>
      <c r="BQ203" s="111"/>
      <c r="BR203" s="111"/>
      <c r="BS203" s="111"/>
      <c r="BT203" s="111"/>
      <c r="BU203" s="111"/>
      <c r="BV203" s="111"/>
      <c r="BW203" s="111"/>
      <c r="BX203" s="111"/>
      <c r="BY203" s="111"/>
      <c r="BZ203" s="111"/>
      <c r="CA203" s="111"/>
      <c r="CB203" s="111"/>
      <c r="CC203" s="49"/>
      <c r="CD203" s="49"/>
      <c r="CE203" s="49"/>
      <c r="CF203" s="49"/>
      <c r="CG203" s="49"/>
      <c r="CH203" s="49"/>
      <c r="CI203" s="49"/>
      <c r="CJ203" s="49"/>
      <c r="CK203" s="49"/>
      <c r="CL203" s="49"/>
      <c r="CM203" s="49"/>
      <c r="CN203" s="49"/>
      <c r="CO203" s="49"/>
      <c r="CP203" s="49"/>
      <c r="CQ203" s="49"/>
      <c r="CR203" s="49"/>
      <c r="CS203" s="49"/>
      <c r="CT203" s="49"/>
      <c r="CU203" s="49"/>
      <c r="CV203" s="49"/>
      <c r="CW203" s="49"/>
      <c r="CX203" s="49"/>
      <c r="CY203" s="49"/>
      <c r="CZ203" s="49"/>
      <c r="DA203" s="49"/>
      <c r="DB203" s="49"/>
      <c r="DC203" s="49"/>
      <c r="DD203" s="49"/>
      <c r="DE203" s="49"/>
      <c r="DF203" s="49"/>
      <c r="DG203" s="49"/>
      <c r="DH203" s="49"/>
      <c r="DI203" s="49"/>
      <c r="DJ203" s="49"/>
      <c r="DK203" s="49"/>
      <c r="DL203" s="49"/>
      <c r="DM203" s="49"/>
      <c r="DN203" s="49"/>
      <c r="DO203" s="49"/>
      <c r="DP203" s="49"/>
      <c r="DQ203" s="49"/>
      <c r="DR203" s="49"/>
      <c r="DS203" s="49"/>
      <c r="DT203" s="49"/>
      <c r="DU203" s="49"/>
      <c r="DV203" s="49"/>
      <c r="DW203" s="49"/>
      <c r="DX203" s="49"/>
      <c r="DY203" s="49"/>
      <c r="DZ203" s="49"/>
      <c r="EA203" s="49"/>
      <c r="EB203" s="49"/>
      <c r="EC203" s="49"/>
      <c r="ED203" s="49"/>
      <c r="EE203" s="49"/>
      <c r="EF203" s="49"/>
      <c r="EG203" s="49"/>
      <c r="EH203" s="49"/>
      <c r="EI203" s="49"/>
      <c r="EJ203" s="49"/>
      <c r="EK203" s="49"/>
      <c r="EL203" s="49"/>
      <c r="EM203" s="49"/>
      <c r="EN203" s="49"/>
      <c r="EO203" s="49"/>
      <c r="EP203" s="49"/>
      <c r="EQ203" s="49"/>
      <c r="ER203" s="49"/>
      <c r="ES203" s="49"/>
      <c r="ET203" s="49"/>
      <c r="EU203" s="49"/>
      <c r="EV203" s="49"/>
      <c r="EW203" s="49"/>
      <c r="EX203" s="49"/>
      <c r="EY203" s="49"/>
      <c r="EZ203" s="49"/>
      <c r="FA203" s="49"/>
      <c r="FB203" s="49"/>
      <c r="FC203" s="49"/>
      <c r="FD203" s="49"/>
      <c r="FE203" s="49"/>
      <c r="FF203" s="49"/>
      <c r="FG203" s="49"/>
      <c r="FH203" s="49"/>
      <c r="FI203" s="49"/>
      <c r="FJ203" s="49"/>
      <c r="FK203" s="49"/>
      <c r="FL203" s="49"/>
      <c r="FM203" s="49"/>
      <c r="FN203" s="49"/>
      <c r="FO203" s="49"/>
      <c r="FP203" s="49"/>
      <c r="FQ203" s="49"/>
      <c r="FR203" s="49"/>
      <c r="FS203" s="49"/>
      <c r="FT203" s="49"/>
      <c r="FU203" s="49"/>
      <c r="FV203" s="49"/>
      <c r="FW203" s="49"/>
      <c r="FX203" s="49"/>
      <c r="FY203" s="49"/>
      <c r="FZ203" s="49"/>
      <c r="GA203" s="49"/>
      <c r="GB203" s="49"/>
      <c r="GC203" s="49"/>
      <c r="GD203" s="49"/>
      <c r="GE203" s="49"/>
      <c r="GF203" s="49"/>
      <c r="GG203" s="49"/>
      <c r="GH203" s="49"/>
      <c r="GI203" s="49"/>
      <c r="GJ203" s="49"/>
      <c r="GK203" s="49"/>
      <c r="GL203" s="49"/>
      <c r="GM203" s="49"/>
      <c r="GN203" s="49"/>
      <c r="GO203" s="49"/>
      <c r="GP203" s="49"/>
      <c r="GQ203" s="49"/>
      <c r="GR203" s="49"/>
      <c r="GS203" s="49"/>
      <c r="GT203" s="49"/>
      <c r="GU203" s="49"/>
      <c r="GV203" s="49"/>
      <c r="GW203" s="49"/>
      <c r="GX203" s="49"/>
      <c r="GY203" s="49"/>
      <c r="GZ203" s="49"/>
      <c r="HA203" s="49"/>
      <c r="HB203" s="49"/>
      <c r="HC203" s="49"/>
      <c r="HD203" s="49"/>
      <c r="HE203" s="49"/>
      <c r="HF203" s="49"/>
      <c r="HG203" s="49"/>
      <c r="HH203" s="49"/>
      <c r="HI203" s="49"/>
      <c r="HJ203" s="49"/>
      <c r="HK203" s="49"/>
      <c r="HL203" s="49"/>
      <c r="HM203" s="49"/>
      <c r="HN203" s="49"/>
      <c r="HO203" s="49"/>
      <c r="HP203" s="49"/>
      <c r="HQ203" s="49"/>
      <c r="HR203" s="49"/>
      <c r="HS203" s="49"/>
    </row>
    <row r="204" spans="1:227" s="15" customFormat="1" ht="12">
      <c r="A204" s="90" t="s">
        <v>299</v>
      </c>
      <c r="C204" s="15" t="s">
        <v>30</v>
      </c>
      <c r="G204" s="230"/>
      <c r="H204" s="127"/>
      <c r="I204" s="477"/>
      <c r="J204" s="477"/>
      <c r="K204" s="477"/>
      <c r="L204" s="475"/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  <c r="Y204" s="111"/>
      <c r="Z204" s="111"/>
      <c r="AA204" s="111"/>
      <c r="AB204" s="111"/>
      <c r="AC204" s="111"/>
      <c r="AD204" s="111"/>
      <c r="AE204" s="111"/>
      <c r="AF204" s="111"/>
      <c r="AG204" s="111"/>
      <c r="AH204" s="111"/>
      <c r="AI204" s="111"/>
      <c r="AJ204" s="111"/>
      <c r="AK204" s="111"/>
      <c r="AL204" s="111"/>
      <c r="AM204" s="111"/>
      <c r="AN204" s="111"/>
      <c r="AO204" s="111"/>
      <c r="AP204" s="111"/>
      <c r="AQ204" s="111"/>
      <c r="AR204" s="111"/>
      <c r="AS204" s="111"/>
      <c r="AT204" s="111"/>
      <c r="AU204" s="111"/>
      <c r="AV204" s="111"/>
      <c r="AW204" s="111"/>
      <c r="AX204" s="111"/>
      <c r="AY204" s="111"/>
      <c r="AZ204" s="111"/>
      <c r="BA204" s="111"/>
      <c r="BB204" s="111"/>
      <c r="BC204" s="111"/>
      <c r="BD204" s="111"/>
      <c r="BE204" s="111"/>
      <c r="BF204" s="111"/>
      <c r="BG204" s="111"/>
      <c r="BH204" s="111"/>
      <c r="BI204" s="111"/>
      <c r="BJ204" s="111"/>
      <c r="BK204" s="111"/>
      <c r="BL204" s="111"/>
      <c r="BM204" s="111"/>
      <c r="BN204" s="111"/>
      <c r="BO204" s="111"/>
      <c r="BP204" s="111"/>
      <c r="BQ204" s="111"/>
      <c r="BR204" s="111"/>
      <c r="BS204" s="111"/>
      <c r="BT204" s="111"/>
      <c r="BU204" s="111"/>
      <c r="BV204" s="111"/>
      <c r="BW204" s="111"/>
      <c r="BX204" s="111"/>
      <c r="BY204" s="111"/>
      <c r="BZ204" s="111"/>
      <c r="CA204" s="111"/>
      <c r="CB204" s="111"/>
      <c r="CC204" s="49"/>
      <c r="CD204" s="49"/>
      <c r="CE204" s="49"/>
      <c r="CF204" s="49"/>
      <c r="CG204" s="49"/>
      <c r="CH204" s="49"/>
      <c r="CI204" s="49"/>
      <c r="CJ204" s="49"/>
      <c r="CK204" s="49"/>
      <c r="CL204" s="49"/>
      <c r="CM204" s="49"/>
      <c r="CN204" s="49"/>
      <c r="CO204" s="49"/>
      <c r="CP204" s="49"/>
      <c r="CQ204" s="49"/>
      <c r="CR204" s="49"/>
      <c r="CS204" s="49"/>
      <c r="CT204" s="49"/>
      <c r="CU204" s="49"/>
      <c r="CV204" s="49"/>
      <c r="CW204" s="49"/>
      <c r="CX204" s="49"/>
      <c r="CY204" s="49"/>
      <c r="CZ204" s="49"/>
      <c r="DA204" s="49"/>
      <c r="DB204" s="49"/>
      <c r="DC204" s="49"/>
      <c r="DD204" s="49"/>
      <c r="DE204" s="49"/>
      <c r="DF204" s="49"/>
      <c r="DG204" s="49"/>
      <c r="DH204" s="49"/>
      <c r="DI204" s="49"/>
      <c r="DJ204" s="49"/>
      <c r="DK204" s="49"/>
      <c r="DL204" s="49"/>
      <c r="DM204" s="49"/>
      <c r="DN204" s="49"/>
      <c r="DO204" s="49"/>
      <c r="DP204" s="49"/>
      <c r="DQ204" s="49"/>
      <c r="DR204" s="49"/>
      <c r="DS204" s="49"/>
      <c r="DT204" s="49"/>
      <c r="DU204" s="49"/>
      <c r="DV204" s="49"/>
      <c r="DW204" s="49"/>
      <c r="DX204" s="49"/>
      <c r="DY204" s="49"/>
      <c r="DZ204" s="49"/>
      <c r="EA204" s="49"/>
      <c r="EB204" s="49"/>
      <c r="EC204" s="49"/>
      <c r="ED204" s="49"/>
      <c r="EE204" s="49"/>
      <c r="EF204" s="49"/>
      <c r="EG204" s="49"/>
      <c r="EH204" s="49"/>
      <c r="EI204" s="49"/>
      <c r="EJ204" s="49"/>
      <c r="EK204" s="49"/>
      <c r="EL204" s="49"/>
      <c r="EM204" s="49"/>
      <c r="EN204" s="49"/>
      <c r="EO204" s="49"/>
      <c r="EP204" s="49"/>
      <c r="EQ204" s="49"/>
      <c r="ER204" s="49"/>
      <c r="ES204" s="49"/>
      <c r="ET204" s="49"/>
      <c r="EU204" s="49"/>
      <c r="EV204" s="49"/>
      <c r="EW204" s="49"/>
      <c r="EX204" s="49"/>
      <c r="EY204" s="49"/>
      <c r="EZ204" s="49"/>
      <c r="FA204" s="49"/>
      <c r="FB204" s="49"/>
      <c r="FC204" s="49"/>
      <c r="FD204" s="49"/>
      <c r="FE204" s="49"/>
      <c r="FF204" s="49"/>
      <c r="FG204" s="49"/>
      <c r="FH204" s="49"/>
      <c r="FI204" s="49"/>
      <c r="FJ204" s="49"/>
      <c r="FK204" s="49"/>
      <c r="FL204" s="49"/>
      <c r="FM204" s="49"/>
      <c r="FN204" s="49"/>
      <c r="FO204" s="49"/>
      <c r="FP204" s="49"/>
      <c r="FQ204" s="49"/>
      <c r="FR204" s="49"/>
      <c r="FS204" s="49"/>
      <c r="FT204" s="49"/>
      <c r="FU204" s="49"/>
      <c r="FV204" s="49"/>
      <c r="FW204" s="49"/>
      <c r="FX204" s="49"/>
      <c r="FY204" s="49"/>
      <c r="FZ204" s="49"/>
      <c r="GA204" s="49"/>
      <c r="GB204" s="49"/>
      <c r="GC204" s="49"/>
      <c r="GD204" s="49"/>
      <c r="GE204" s="49"/>
      <c r="GF204" s="49"/>
      <c r="GG204" s="49"/>
      <c r="GH204" s="49"/>
      <c r="GI204" s="49"/>
      <c r="GJ204" s="49"/>
      <c r="GK204" s="49"/>
      <c r="GL204" s="49"/>
      <c r="GM204" s="49"/>
      <c r="GN204" s="49"/>
      <c r="GO204" s="49"/>
      <c r="GP204" s="49"/>
      <c r="GQ204" s="49"/>
      <c r="GR204" s="49"/>
      <c r="GS204" s="49"/>
      <c r="GT204" s="49"/>
      <c r="GU204" s="49"/>
      <c r="GV204" s="49"/>
      <c r="GW204" s="49"/>
      <c r="GX204" s="49"/>
      <c r="GY204" s="49"/>
      <c r="GZ204" s="49"/>
      <c r="HA204" s="49"/>
      <c r="HB204" s="49"/>
      <c r="HC204" s="49"/>
      <c r="HD204" s="49"/>
      <c r="HE204" s="49"/>
      <c r="HF204" s="49"/>
      <c r="HG204" s="49"/>
      <c r="HH204" s="49"/>
      <c r="HI204" s="49"/>
      <c r="HJ204" s="49"/>
      <c r="HK204" s="49"/>
      <c r="HL204" s="49"/>
      <c r="HM204" s="49"/>
      <c r="HN204" s="49"/>
      <c r="HO204" s="49"/>
      <c r="HP204" s="49"/>
      <c r="HQ204" s="49"/>
      <c r="HR204" s="49"/>
      <c r="HS204" s="49"/>
    </row>
    <row r="205" spans="1:227" s="15" customFormat="1" ht="12">
      <c r="A205" s="96"/>
      <c r="C205" s="15" t="s">
        <v>10</v>
      </c>
      <c r="G205" s="230"/>
      <c r="H205" s="136" t="s">
        <v>429</v>
      </c>
      <c r="I205" s="477"/>
      <c r="J205" s="477"/>
      <c r="K205" s="477"/>
      <c r="L205" s="475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  <c r="Y205" s="111"/>
      <c r="Z205" s="111"/>
      <c r="AA205" s="111"/>
      <c r="AB205" s="111"/>
      <c r="AC205" s="111"/>
      <c r="AD205" s="111"/>
      <c r="AE205" s="111"/>
      <c r="AF205" s="111"/>
      <c r="AG205" s="111"/>
      <c r="AH205" s="111"/>
      <c r="AI205" s="111"/>
      <c r="AJ205" s="111"/>
      <c r="AK205" s="111"/>
      <c r="AL205" s="111"/>
      <c r="AM205" s="111"/>
      <c r="AN205" s="111"/>
      <c r="AO205" s="111"/>
      <c r="AP205" s="111"/>
      <c r="AQ205" s="111"/>
      <c r="AR205" s="111"/>
      <c r="AS205" s="111"/>
      <c r="AT205" s="111"/>
      <c r="AU205" s="111"/>
      <c r="AV205" s="111"/>
      <c r="AW205" s="111"/>
      <c r="AX205" s="111"/>
      <c r="AY205" s="111"/>
      <c r="AZ205" s="111"/>
      <c r="BA205" s="111"/>
      <c r="BB205" s="111"/>
      <c r="BC205" s="111"/>
      <c r="BD205" s="111"/>
      <c r="BE205" s="111"/>
      <c r="BF205" s="111"/>
      <c r="BG205" s="111"/>
      <c r="BH205" s="111"/>
      <c r="BI205" s="111"/>
      <c r="BJ205" s="111"/>
      <c r="BK205" s="111"/>
      <c r="BL205" s="111"/>
      <c r="BM205" s="111"/>
      <c r="BN205" s="111"/>
      <c r="BO205" s="111"/>
      <c r="BP205" s="111"/>
      <c r="BQ205" s="111"/>
      <c r="BR205" s="111"/>
      <c r="BS205" s="111"/>
      <c r="BT205" s="111"/>
      <c r="BU205" s="111"/>
      <c r="BV205" s="111"/>
      <c r="BW205" s="111"/>
      <c r="BX205" s="111"/>
      <c r="BY205" s="111"/>
      <c r="BZ205" s="111"/>
      <c r="CA205" s="111"/>
      <c r="CB205" s="111"/>
      <c r="CC205" s="49"/>
      <c r="CD205" s="49"/>
      <c r="CE205" s="49"/>
      <c r="CF205" s="49"/>
      <c r="CG205" s="49"/>
      <c r="CH205" s="49"/>
      <c r="CI205" s="49"/>
      <c r="CJ205" s="49"/>
      <c r="CK205" s="49"/>
      <c r="CL205" s="49"/>
      <c r="CM205" s="49"/>
      <c r="CN205" s="49"/>
      <c r="CO205" s="49"/>
      <c r="CP205" s="49"/>
      <c r="CQ205" s="49"/>
      <c r="CR205" s="49"/>
      <c r="CS205" s="49"/>
      <c r="CT205" s="49"/>
      <c r="CU205" s="49"/>
      <c r="CV205" s="49"/>
      <c r="CW205" s="49"/>
      <c r="CX205" s="49"/>
      <c r="CY205" s="49"/>
      <c r="CZ205" s="49"/>
      <c r="DA205" s="49"/>
      <c r="DB205" s="49"/>
      <c r="DC205" s="49"/>
      <c r="DD205" s="49"/>
      <c r="DE205" s="49"/>
      <c r="DF205" s="49"/>
      <c r="DG205" s="49"/>
      <c r="DH205" s="49"/>
      <c r="DI205" s="49"/>
      <c r="DJ205" s="49"/>
      <c r="DK205" s="49"/>
      <c r="DL205" s="49"/>
      <c r="DM205" s="49"/>
      <c r="DN205" s="49"/>
      <c r="DO205" s="49"/>
      <c r="DP205" s="49"/>
      <c r="DQ205" s="49"/>
      <c r="DR205" s="49"/>
      <c r="DS205" s="49"/>
      <c r="DT205" s="49"/>
      <c r="DU205" s="49"/>
      <c r="DV205" s="49"/>
      <c r="DW205" s="49"/>
      <c r="DX205" s="49"/>
      <c r="DY205" s="49"/>
      <c r="DZ205" s="49"/>
      <c r="EA205" s="49"/>
      <c r="EB205" s="49"/>
      <c r="EC205" s="49"/>
      <c r="ED205" s="49"/>
      <c r="EE205" s="49"/>
      <c r="EF205" s="49"/>
      <c r="EG205" s="49"/>
      <c r="EH205" s="49"/>
      <c r="EI205" s="49"/>
      <c r="EJ205" s="49"/>
      <c r="EK205" s="49"/>
      <c r="EL205" s="49"/>
      <c r="EM205" s="49"/>
      <c r="EN205" s="49"/>
      <c r="EO205" s="49"/>
      <c r="EP205" s="49"/>
      <c r="EQ205" s="49"/>
      <c r="ER205" s="49"/>
      <c r="ES205" s="49"/>
      <c r="ET205" s="49"/>
      <c r="EU205" s="49"/>
      <c r="EV205" s="49"/>
      <c r="EW205" s="49"/>
      <c r="EX205" s="49"/>
      <c r="EY205" s="49"/>
      <c r="EZ205" s="49"/>
      <c r="FA205" s="49"/>
      <c r="FB205" s="49"/>
      <c r="FC205" s="49"/>
      <c r="FD205" s="49"/>
      <c r="FE205" s="49"/>
      <c r="FF205" s="49"/>
      <c r="FG205" s="49"/>
      <c r="FH205" s="49"/>
      <c r="FI205" s="49"/>
      <c r="FJ205" s="49"/>
      <c r="FK205" s="49"/>
      <c r="FL205" s="49"/>
      <c r="FM205" s="49"/>
      <c r="FN205" s="49"/>
      <c r="FO205" s="49"/>
      <c r="FP205" s="49"/>
      <c r="FQ205" s="49"/>
      <c r="FR205" s="49"/>
      <c r="FS205" s="49"/>
      <c r="FT205" s="49"/>
      <c r="FU205" s="49"/>
      <c r="FV205" s="49"/>
      <c r="FW205" s="49"/>
      <c r="FX205" s="49"/>
      <c r="FY205" s="49"/>
      <c r="FZ205" s="49"/>
      <c r="GA205" s="49"/>
      <c r="GB205" s="49"/>
      <c r="GC205" s="49"/>
      <c r="GD205" s="49"/>
      <c r="GE205" s="49"/>
      <c r="GF205" s="49"/>
      <c r="GG205" s="49"/>
      <c r="GH205" s="49"/>
      <c r="GI205" s="49"/>
      <c r="GJ205" s="49"/>
      <c r="GK205" s="49"/>
      <c r="GL205" s="49"/>
      <c r="GM205" s="49"/>
      <c r="GN205" s="49"/>
      <c r="GO205" s="49"/>
      <c r="GP205" s="49"/>
      <c r="GQ205" s="49"/>
      <c r="GR205" s="49"/>
      <c r="GS205" s="49"/>
      <c r="GT205" s="49"/>
      <c r="GU205" s="49"/>
      <c r="GV205" s="49"/>
      <c r="GW205" s="49"/>
      <c r="GX205" s="49"/>
      <c r="GY205" s="49"/>
      <c r="GZ205" s="49"/>
      <c r="HA205" s="49"/>
      <c r="HB205" s="49"/>
      <c r="HC205" s="49"/>
      <c r="HD205" s="49"/>
      <c r="HE205" s="49"/>
      <c r="HF205" s="49"/>
      <c r="HG205" s="49"/>
      <c r="HH205" s="49"/>
      <c r="HI205" s="49"/>
      <c r="HJ205" s="49"/>
      <c r="HK205" s="49"/>
      <c r="HL205" s="49"/>
      <c r="HM205" s="49"/>
      <c r="HN205" s="49"/>
      <c r="HO205" s="49"/>
      <c r="HP205" s="49"/>
      <c r="HQ205" s="49"/>
      <c r="HR205" s="49"/>
      <c r="HS205" s="49"/>
    </row>
    <row r="206" spans="1:227" s="15" customFormat="1" ht="60">
      <c r="A206" s="96" t="s">
        <v>300</v>
      </c>
      <c r="D206" s="15" t="s">
        <v>11</v>
      </c>
      <c r="G206" s="230"/>
      <c r="H206" s="127" t="s">
        <v>462</v>
      </c>
      <c r="I206" s="477"/>
      <c r="J206" s="127" t="s">
        <v>502</v>
      </c>
      <c r="K206" s="477"/>
      <c r="L206" s="475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  <c r="Y206" s="111"/>
      <c r="Z206" s="111"/>
      <c r="AA206" s="111"/>
      <c r="AB206" s="111"/>
      <c r="AC206" s="111"/>
      <c r="AD206" s="111"/>
      <c r="AE206" s="111"/>
      <c r="AF206" s="111"/>
      <c r="AG206" s="111"/>
      <c r="AH206" s="111"/>
      <c r="AI206" s="111"/>
      <c r="AJ206" s="111"/>
      <c r="AK206" s="111"/>
      <c r="AL206" s="111"/>
      <c r="AM206" s="111"/>
      <c r="AN206" s="111"/>
      <c r="AO206" s="111"/>
      <c r="AP206" s="111"/>
      <c r="AQ206" s="111"/>
      <c r="AR206" s="111"/>
      <c r="AS206" s="111"/>
      <c r="AT206" s="111"/>
      <c r="AU206" s="111"/>
      <c r="AV206" s="111"/>
      <c r="AW206" s="111"/>
      <c r="AX206" s="111"/>
      <c r="AY206" s="111"/>
      <c r="AZ206" s="111"/>
      <c r="BA206" s="111"/>
      <c r="BB206" s="111"/>
      <c r="BC206" s="111"/>
      <c r="BD206" s="111"/>
      <c r="BE206" s="111"/>
      <c r="BF206" s="111"/>
      <c r="BG206" s="111"/>
      <c r="BH206" s="111"/>
      <c r="BI206" s="111"/>
      <c r="BJ206" s="111"/>
      <c r="BK206" s="111"/>
      <c r="BL206" s="111"/>
      <c r="BM206" s="111"/>
      <c r="BN206" s="111"/>
      <c r="BO206" s="111"/>
      <c r="BP206" s="111"/>
      <c r="BQ206" s="111"/>
      <c r="BR206" s="111"/>
      <c r="BS206" s="111"/>
      <c r="BT206" s="111"/>
      <c r="BU206" s="111"/>
      <c r="BV206" s="111"/>
      <c r="BW206" s="111"/>
      <c r="BX206" s="111"/>
      <c r="BY206" s="111"/>
      <c r="BZ206" s="111"/>
      <c r="CA206" s="111"/>
      <c r="CB206" s="111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  <c r="DI206" s="49"/>
      <c r="DJ206" s="49"/>
      <c r="DK206" s="49"/>
      <c r="DL206" s="49"/>
      <c r="DM206" s="49"/>
      <c r="DN206" s="49"/>
      <c r="DO206" s="49"/>
      <c r="DP206" s="49"/>
      <c r="DQ206" s="49"/>
      <c r="DR206" s="49"/>
      <c r="DS206" s="49"/>
      <c r="DT206" s="49"/>
      <c r="DU206" s="49"/>
      <c r="DV206" s="49"/>
      <c r="DW206" s="49"/>
      <c r="DX206" s="49"/>
      <c r="DY206" s="49"/>
      <c r="DZ206" s="49"/>
      <c r="EA206" s="49"/>
      <c r="EB206" s="49"/>
      <c r="EC206" s="49"/>
      <c r="ED206" s="49"/>
      <c r="EE206" s="49"/>
      <c r="EF206" s="49"/>
      <c r="EG206" s="49"/>
      <c r="EH206" s="49"/>
      <c r="EI206" s="49"/>
      <c r="EJ206" s="49"/>
      <c r="EK206" s="49"/>
      <c r="EL206" s="49"/>
      <c r="EM206" s="49"/>
      <c r="EN206" s="49"/>
      <c r="EO206" s="49"/>
      <c r="EP206" s="49"/>
      <c r="EQ206" s="49"/>
      <c r="ER206" s="49"/>
      <c r="ES206" s="49"/>
      <c r="ET206" s="49"/>
      <c r="EU206" s="49"/>
      <c r="EV206" s="49"/>
      <c r="EW206" s="49"/>
      <c r="EX206" s="49"/>
      <c r="EY206" s="49"/>
      <c r="EZ206" s="49"/>
      <c r="FA206" s="49"/>
      <c r="FB206" s="49"/>
      <c r="FC206" s="49"/>
      <c r="FD206" s="49"/>
      <c r="FE206" s="49"/>
      <c r="FF206" s="49"/>
      <c r="FG206" s="49"/>
      <c r="FH206" s="49"/>
      <c r="FI206" s="49"/>
      <c r="FJ206" s="49"/>
      <c r="FK206" s="49"/>
      <c r="FL206" s="49"/>
      <c r="FM206" s="49"/>
      <c r="FN206" s="49"/>
      <c r="FO206" s="49"/>
      <c r="FP206" s="49"/>
      <c r="FQ206" s="49"/>
      <c r="FR206" s="49"/>
      <c r="FS206" s="49"/>
      <c r="FT206" s="49"/>
      <c r="FU206" s="49"/>
      <c r="FV206" s="49"/>
      <c r="FW206" s="49"/>
      <c r="FX206" s="49"/>
      <c r="FY206" s="49"/>
      <c r="FZ206" s="49"/>
      <c r="GA206" s="49"/>
      <c r="GB206" s="49"/>
      <c r="GC206" s="49"/>
      <c r="GD206" s="49"/>
      <c r="GE206" s="49"/>
      <c r="GF206" s="49"/>
      <c r="GG206" s="49"/>
      <c r="GH206" s="49"/>
      <c r="GI206" s="49"/>
      <c r="GJ206" s="49"/>
      <c r="GK206" s="49"/>
      <c r="GL206" s="49"/>
      <c r="GM206" s="49"/>
      <c r="GN206" s="49"/>
      <c r="GO206" s="49"/>
      <c r="GP206" s="49"/>
      <c r="GQ206" s="49"/>
      <c r="GR206" s="49"/>
      <c r="GS206" s="49"/>
      <c r="GT206" s="49"/>
      <c r="GU206" s="49"/>
      <c r="GV206" s="49"/>
      <c r="GW206" s="49"/>
      <c r="GX206" s="49"/>
      <c r="GY206" s="49"/>
      <c r="GZ206" s="49"/>
      <c r="HA206" s="49"/>
      <c r="HB206" s="49"/>
      <c r="HC206" s="49"/>
      <c r="HD206" s="49"/>
      <c r="HE206" s="49"/>
      <c r="HF206" s="49"/>
      <c r="HG206" s="49"/>
      <c r="HH206" s="49"/>
      <c r="HI206" s="49"/>
      <c r="HJ206" s="49"/>
      <c r="HK206" s="49"/>
      <c r="HL206" s="49"/>
      <c r="HM206" s="49"/>
      <c r="HN206" s="49"/>
      <c r="HO206" s="49"/>
      <c r="HP206" s="49"/>
      <c r="HQ206" s="49"/>
      <c r="HR206" s="49"/>
      <c r="HS206" s="49"/>
    </row>
    <row r="207" spans="1:227" s="15" customFormat="1" ht="12">
      <c r="A207" s="96" t="s">
        <v>301</v>
      </c>
      <c r="D207" s="15" t="s">
        <v>12</v>
      </c>
      <c r="G207" s="230"/>
      <c r="H207" s="121" t="s">
        <v>463</v>
      </c>
      <c r="I207" s="477"/>
      <c r="J207" s="477"/>
      <c r="K207" s="477"/>
      <c r="L207" s="475"/>
      <c r="M207" s="111"/>
      <c r="N207" s="111"/>
      <c r="O207" s="111"/>
      <c r="P207" s="111"/>
      <c r="Q207" s="111"/>
      <c r="R207" s="111"/>
      <c r="S207" s="111"/>
      <c r="T207" s="111"/>
      <c r="U207" s="111"/>
      <c r="V207" s="111"/>
      <c r="W207" s="111"/>
      <c r="X207" s="111"/>
      <c r="Y207" s="111"/>
      <c r="Z207" s="111"/>
      <c r="AA207" s="111"/>
      <c r="AB207" s="111"/>
      <c r="AC207" s="111"/>
      <c r="AD207" s="111"/>
      <c r="AE207" s="111"/>
      <c r="AF207" s="111"/>
      <c r="AG207" s="111"/>
      <c r="AH207" s="111"/>
      <c r="AI207" s="111"/>
      <c r="AJ207" s="111"/>
      <c r="AK207" s="111"/>
      <c r="AL207" s="111"/>
      <c r="AM207" s="111"/>
      <c r="AN207" s="111"/>
      <c r="AO207" s="111"/>
      <c r="AP207" s="111"/>
      <c r="AQ207" s="111"/>
      <c r="AR207" s="111"/>
      <c r="AS207" s="111"/>
      <c r="AT207" s="111"/>
      <c r="AU207" s="111"/>
      <c r="AV207" s="111"/>
      <c r="AW207" s="111"/>
      <c r="AX207" s="111"/>
      <c r="AY207" s="111"/>
      <c r="AZ207" s="111"/>
      <c r="BA207" s="111"/>
      <c r="BB207" s="111"/>
      <c r="BC207" s="111"/>
      <c r="BD207" s="111"/>
      <c r="BE207" s="111"/>
      <c r="BF207" s="111"/>
      <c r="BG207" s="111"/>
      <c r="BH207" s="111"/>
      <c r="BI207" s="111"/>
      <c r="BJ207" s="111"/>
      <c r="BK207" s="111"/>
      <c r="BL207" s="111"/>
      <c r="BM207" s="111"/>
      <c r="BN207" s="111"/>
      <c r="BO207" s="111"/>
      <c r="BP207" s="111"/>
      <c r="BQ207" s="111"/>
      <c r="BR207" s="111"/>
      <c r="BS207" s="111"/>
      <c r="BT207" s="111"/>
      <c r="BU207" s="111"/>
      <c r="BV207" s="111"/>
      <c r="BW207" s="111"/>
      <c r="BX207" s="111"/>
      <c r="BY207" s="111"/>
      <c r="BZ207" s="111"/>
      <c r="CA207" s="111"/>
      <c r="CB207" s="111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49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  <c r="DI207" s="49"/>
      <c r="DJ207" s="49"/>
      <c r="DK207" s="49"/>
      <c r="DL207" s="49"/>
      <c r="DM207" s="49"/>
      <c r="DN207" s="49"/>
      <c r="DO207" s="49"/>
      <c r="DP207" s="49"/>
      <c r="DQ207" s="49"/>
      <c r="DR207" s="49"/>
      <c r="DS207" s="49"/>
      <c r="DT207" s="49"/>
      <c r="DU207" s="49"/>
      <c r="DV207" s="49"/>
      <c r="DW207" s="49"/>
      <c r="DX207" s="49"/>
      <c r="DY207" s="49"/>
      <c r="DZ207" s="49"/>
      <c r="EA207" s="49"/>
      <c r="EB207" s="49"/>
      <c r="EC207" s="49"/>
      <c r="ED207" s="49"/>
      <c r="EE207" s="49"/>
      <c r="EF207" s="49"/>
      <c r="EG207" s="49"/>
      <c r="EH207" s="49"/>
      <c r="EI207" s="49"/>
      <c r="EJ207" s="49"/>
      <c r="EK207" s="49"/>
      <c r="EL207" s="49"/>
      <c r="EM207" s="49"/>
      <c r="EN207" s="49"/>
      <c r="EO207" s="49"/>
      <c r="EP207" s="49"/>
      <c r="EQ207" s="49"/>
      <c r="ER207" s="49"/>
      <c r="ES207" s="49"/>
      <c r="ET207" s="49"/>
      <c r="EU207" s="49"/>
      <c r="EV207" s="49"/>
      <c r="EW207" s="49"/>
      <c r="EX207" s="49"/>
      <c r="EY207" s="49"/>
      <c r="EZ207" s="49"/>
      <c r="FA207" s="49"/>
      <c r="FB207" s="49"/>
      <c r="FC207" s="49"/>
      <c r="FD207" s="49"/>
      <c r="FE207" s="49"/>
      <c r="FF207" s="49"/>
      <c r="FG207" s="49"/>
      <c r="FH207" s="49"/>
      <c r="FI207" s="49"/>
      <c r="FJ207" s="49"/>
      <c r="FK207" s="49"/>
      <c r="FL207" s="49"/>
      <c r="FM207" s="49"/>
      <c r="FN207" s="49"/>
      <c r="FO207" s="49"/>
      <c r="FP207" s="49"/>
      <c r="FQ207" s="49"/>
      <c r="FR207" s="49"/>
      <c r="FS207" s="49"/>
      <c r="FT207" s="49"/>
      <c r="FU207" s="49"/>
      <c r="FV207" s="49"/>
      <c r="FW207" s="49"/>
      <c r="FX207" s="49"/>
      <c r="FY207" s="49"/>
      <c r="FZ207" s="49"/>
      <c r="GA207" s="49"/>
      <c r="GB207" s="49"/>
      <c r="GC207" s="49"/>
      <c r="GD207" s="49"/>
      <c r="GE207" s="49"/>
      <c r="GF207" s="49"/>
      <c r="GG207" s="49"/>
      <c r="GH207" s="49"/>
      <c r="GI207" s="49"/>
      <c r="GJ207" s="49"/>
      <c r="GK207" s="49"/>
      <c r="GL207" s="49"/>
      <c r="GM207" s="49"/>
      <c r="GN207" s="49"/>
      <c r="GO207" s="49"/>
      <c r="GP207" s="49"/>
      <c r="GQ207" s="49"/>
      <c r="GR207" s="49"/>
      <c r="GS207" s="49"/>
      <c r="GT207" s="49"/>
      <c r="GU207" s="49"/>
      <c r="GV207" s="49"/>
      <c r="GW207" s="49"/>
      <c r="GX207" s="49"/>
      <c r="GY207" s="49"/>
      <c r="GZ207" s="49"/>
      <c r="HA207" s="49"/>
      <c r="HB207" s="49"/>
      <c r="HC207" s="49"/>
      <c r="HD207" s="49"/>
      <c r="HE207" s="49"/>
      <c r="HF207" s="49"/>
      <c r="HG207" s="49"/>
      <c r="HH207" s="49"/>
      <c r="HI207" s="49"/>
      <c r="HJ207" s="49"/>
      <c r="HK207" s="49"/>
      <c r="HL207" s="49"/>
      <c r="HM207" s="49"/>
      <c r="HN207" s="49"/>
      <c r="HO207" s="49"/>
      <c r="HP207" s="49"/>
      <c r="HQ207" s="49"/>
      <c r="HR207" s="49"/>
      <c r="HS207" s="49"/>
    </row>
    <row r="208" spans="1:227" s="15" customFormat="1" ht="12">
      <c r="A208" s="96" t="s">
        <v>302</v>
      </c>
      <c r="D208" s="15" t="s">
        <v>13</v>
      </c>
      <c r="G208" s="230"/>
      <c r="H208" s="127"/>
      <c r="I208" s="477"/>
      <c r="J208" s="477"/>
      <c r="K208" s="477"/>
      <c r="L208" s="475"/>
      <c r="M208" s="111"/>
      <c r="N208" s="111"/>
      <c r="O208" s="111"/>
      <c r="P208" s="111"/>
      <c r="Q208" s="111"/>
      <c r="R208" s="111"/>
      <c r="S208" s="111"/>
      <c r="T208" s="111"/>
      <c r="U208" s="111"/>
      <c r="V208" s="111"/>
      <c r="W208" s="111"/>
      <c r="X208" s="111"/>
      <c r="Y208" s="111"/>
      <c r="Z208" s="111"/>
      <c r="AA208" s="111"/>
      <c r="AB208" s="111"/>
      <c r="AC208" s="111"/>
      <c r="AD208" s="111"/>
      <c r="AE208" s="111"/>
      <c r="AF208" s="111"/>
      <c r="AG208" s="111"/>
      <c r="AH208" s="111"/>
      <c r="AI208" s="111"/>
      <c r="AJ208" s="111"/>
      <c r="AK208" s="111"/>
      <c r="AL208" s="111"/>
      <c r="AM208" s="111"/>
      <c r="AN208" s="111"/>
      <c r="AO208" s="111"/>
      <c r="AP208" s="111"/>
      <c r="AQ208" s="111"/>
      <c r="AR208" s="111"/>
      <c r="AS208" s="111"/>
      <c r="AT208" s="111"/>
      <c r="AU208" s="111"/>
      <c r="AV208" s="111"/>
      <c r="AW208" s="111"/>
      <c r="AX208" s="111"/>
      <c r="AY208" s="111"/>
      <c r="AZ208" s="111"/>
      <c r="BA208" s="111"/>
      <c r="BB208" s="111"/>
      <c r="BC208" s="111"/>
      <c r="BD208" s="111"/>
      <c r="BE208" s="111"/>
      <c r="BF208" s="111"/>
      <c r="BG208" s="111"/>
      <c r="BH208" s="111"/>
      <c r="BI208" s="111"/>
      <c r="BJ208" s="111"/>
      <c r="BK208" s="111"/>
      <c r="BL208" s="111"/>
      <c r="BM208" s="111"/>
      <c r="BN208" s="111"/>
      <c r="BO208" s="111"/>
      <c r="BP208" s="111"/>
      <c r="BQ208" s="111"/>
      <c r="BR208" s="111"/>
      <c r="BS208" s="111"/>
      <c r="BT208" s="111"/>
      <c r="BU208" s="111"/>
      <c r="BV208" s="111"/>
      <c r="BW208" s="111"/>
      <c r="BX208" s="111"/>
      <c r="BY208" s="111"/>
      <c r="BZ208" s="111"/>
      <c r="CA208" s="111"/>
      <c r="CB208" s="111"/>
      <c r="CC208" s="49"/>
      <c r="CD208" s="49"/>
      <c r="CE208" s="49"/>
      <c r="CF208" s="49"/>
      <c r="CG208" s="49"/>
      <c r="CH208" s="49"/>
      <c r="CI208" s="49"/>
      <c r="CJ208" s="49"/>
      <c r="CK208" s="49"/>
      <c r="CL208" s="49"/>
      <c r="CM208" s="49"/>
      <c r="CN208" s="49"/>
      <c r="CO208" s="49"/>
      <c r="CP208" s="49"/>
      <c r="CQ208" s="49"/>
      <c r="CR208" s="49"/>
      <c r="CS208" s="49"/>
      <c r="CT208" s="49"/>
      <c r="CU208" s="49"/>
      <c r="CV208" s="49"/>
      <c r="CW208" s="49"/>
      <c r="CX208" s="49"/>
      <c r="CY208" s="49"/>
      <c r="CZ208" s="49"/>
      <c r="DA208" s="49"/>
      <c r="DB208" s="49"/>
      <c r="DC208" s="49"/>
      <c r="DD208" s="49"/>
      <c r="DE208" s="49"/>
      <c r="DF208" s="49"/>
      <c r="DG208" s="49"/>
      <c r="DH208" s="49"/>
      <c r="DI208" s="49"/>
      <c r="DJ208" s="49"/>
      <c r="DK208" s="49"/>
      <c r="DL208" s="49"/>
      <c r="DM208" s="49"/>
      <c r="DN208" s="49"/>
      <c r="DO208" s="49"/>
      <c r="DP208" s="49"/>
      <c r="DQ208" s="49"/>
      <c r="DR208" s="49"/>
      <c r="DS208" s="49"/>
      <c r="DT208" s="49"/>
      <c r="DU208" s="49"/>
      <c r="DV208" s="49"/>
      <c r="DW208" s="49"/>
      <c r="DX208" s="49"/>
      <c r="DY208" s="49"/>
      <c r="DZ208" s="49"/>
      <c r="EA208" s="49"/>
      <c r="EB208" s="49"/>
      <c r="EC208" s="49"/>
      <c r="ED208" s="49"/>
      <c r="EE208" s="49"/>
      <c r="EF208" s="49"/>
      <c r="EG208" s="49"/>
      <c r="EH208" s="49"/>
      <c r="EI208" s="49"/>
      <c r="EJ208" s="49"/>
      <c r="EK208" s="49"/>
      <c r="EL208" s="49"/>
      <c r="EM208" s="49"/>
      <c r="EN208" s="49"/>
      <c r="EO208" s="49"/>
      <c r="EP208" s="49"/>
      <c r="EQ208" s="49"/>
      <c r="ER208" s="49"/>
      <c r="ES208" s="49"/>
      <c r="ET208" s="49"/>
      <c r="EU208" s="49"/>
      <c r="EV208" s="49"/>
      <c r="EW208" s="49"/>
      <c r="EX208" s="49"/>
      <c r="EY208" s="49"/>
      <c r="EZ208" s="49"/>
      <c r="FA208" s="49"/>
      <c r="FB208" s="49"/>
      <c r="FC208" s="49"/>
      <c r="FD208" s="49"/>
      <c r="FE208" s="49"/>
      <c r="FF208" s="49"/>
      <c r="FG208" s="49"/>
      <c r="FH208" s="49"/>
      <c r="FI208" s="49"/>
      <c r="FJ208" s="49"/>
      <c r="FK208" s="49"/>
      <c r="FL208" s="49"/>
      <c r="FM208" s="49"/>
      <c r="FN208" s="49"/>
      <c r="FO208" s="49"/>
      <c r="FP208" s="49"/>
      <c r="FQ208" s="49"/>
      <c r="FR208" s="49"/>
      <c r="FS208" s="49"/>
      <c r="FT208" s="49"/>
      <c r="FU208" s="49"/>
      <c r="FV208" s="49"/>
      <c r="FW208" s="49"/>
      <c r="FX208" s="49"/>
      <c r="FY208" s="49"/>
      <c r="FZ208" s="49"/>
      <c r="GA208" s="49"/>
      <c r="GB208" s="49"/>
      <c r="GC208" s="49"/>
      <c r="GD208" s="49"/>
      <c r="GE208" s="49"/>
      <c r="GF208" s="49"/>
      <c r="GG208" s="49"/>
      <c r="GH208" s="49"/>
      <c r="GI208" s="49"/>
      <c r="GJ208" s="49"/>
      <c r="GK208" s="49"/>
      <c r="GL208" s="49"/>
      <c r="GM208" s="49"/>
      <c r="GN208" s="49"/>
      <c r="GO208" s="49"/>
      <c r="GP208" s="49"/>
      <c r="GQ208" s="49"/>
      <c r="GR208" s="49"/>
      <c r="GS208" s="49"/>
      <c r="GT208" s="49"/>
      <c r="GU208" s="49"/>
      <c r="GV208" s="49"/>
      <c r="GW208" s="49"/>
      <c r="GX208" s="49"/>
      <c r="GY208" s="49"/>
      <c r="GZ208" s="49"/>
      <c r="HA208" s="49"/>
      <c r="HB208" s="49"/>
      <c r="HC208" s="49"/>
      <c r="HD208" s="49"/>
      <c r="HE208" s="49"/>
      <c r="HF208" s="49"/>
      <c r="HG208" s="49"/>
      <c r="HH208" s="49"/>
      <c r="HI208" s="49"/>
      <c r="HJ208" s="49"/>
      <c r="HK208" s="49"/>
      <c r="HL208" s="49"/>
      <c r="HM208" s="49"/>
      <c r="HN208" s="49"/>
      <c r="HO208" s="49"/>
      <c r="HP208" s="49"/>
      <c r="HQ208" s="49"/>
      <c r="HR208" s="49"/>
      <c r="HS208" s="49"/>
    </row>
    <row r="209" spans="1:227" s="15" customFormat="1" ht="12">
      <c r="A209" s="96" t="s">
        <v>303</v>
      </c>
      <c r="D209" s="15" t="s">
        <v>14</v>
      </c>
      <c r="G209" s="230"/>
      <c r="H209" s="127" t="s">
        <v>464</v>
      </c>
      <c r="I209" s="477"/>
      <c r="J209" s="477"/>
      <c r="K209" s="477"/>
      <c r="L209" s="475"/>
      <c r="M209" s="111"/>
      <c r="N209" s="111"/>
      <c r="O209" s="111"/>
      <c r="P209" s="111"/>
      <c r="Q209" s="111"/>
      <c r="R209" s="111"/>
      <c r="S209" s="111"/>
      <c r="T209" s="111"/>
      <c r="U209" s="111"/>
      <c r="V209" s="111"/>
      <c r="W209" s="111"/>
      <c r="X209" s="111"/>
      <c r="Y209" s="111"/>
      <c r="Z209" s="111"/>
      <c r="AA209" s="111"/>
      <c r="AB209" s="111"/>
      <c r="AC209" s="111"/>
      <c r="AD209" s="111"/>
      <c r="AE209" s="111"/>
      <c r="AF209" s="111"/>
      <c r="AG209" s="111"/>
      <c r="AH209" s="111"/>
      <c r="AI209" s="111"/>
      <c r="AJ209" s="111"/>
      <c r="AK209" s="111"/>
      <c r="AL209" s="111"/>
      <c r="AM209" s="111"/>
      <c r="AN209" s="111"/>
      <c r="AO209" s="111"/>
      <c r="AP209" s="111"/>
      <c r="AQ209" s="111"/>
      <c r="AR209" s="111"/>
      <c r="AS209" s="111"/>
      <c r="AT209" s="111"/>
      <c r="AU209" s="111"/>
      <c r="AV209" s="111"/>
      <c r="AW209" s="111"/>
      <c r="AX209" s="111"/>
      <c r="AY209" s="111"/>
      <c r="AZ209" s="111"/>
      <c r="BA209" s="111"/>
      <c r="BB209" s="111"/>
      <c r="BC209" s="111"/>
      <c r="BD209" s="111"/>
      <c r="BE209" s="111"/>
      <c r="BF209" s="111"/>
      <c r="BG209" s="111"/>
      <c r="BH209" s="111"/>
      <c r="BI209" s="111"/>
      <c r="BJ209" s="111"/>
      <c r="BK209" s="111"/>
      <c r="BL209" s="111"/>
      <c r="BM209" s="111"/>
      <c r="BN209" s="111"/>
      <c r="BO209" s="111"/>
      <c r="BP209" s="111"/>
      <c r="BQ209" s="111"/>
      <c r="BR209" s="111"/>
      <c r="BS209" s="111"/>
      <c r="BT209" s="111"/>
      <c r="BU209" s="111"/>
      <c r="BV209" s="111"/>
      <c r="BW209" s="111"/>
      <c r="BX209" s="111"/>
      <c r="BY209" s="111"/>
      <c r="BZ209" s="111"/>
      <c r="CA209" s="111"/>
      <c r="CB209" s="111"/>
      <c r="CC209" s="49"/>
      <c r="CD209" s="49"/>
      <c r="CE209" s="49"/>
      <c r="CF209" s="49"/>
      <c r="CG209" s="49"/>
      <c r="CH209" s="49"/>
      <c r="CI209" s="49"/>
      <c r="CJ209" s="49"/>
      <c r="CK209" s="49"/>
      <c r="CL209" s="49"/>
      <c r="CM209" s="49"/>
      <c r="CN209" s="49"/>
      <c r="CO209" s="49"/>
      <c r="CP209" s="49"/>
      <c r="CQ209" s="49"/>
      <c r="CR209" s="49"/>
      <c r="CS209" s="49"/>
      <c r="CT209" s="49"/>
      <c r="CU209" s="49"/>
      <c r="CV209" s="49"/>
      <c r="CW209" s="49"/>
      <c r="CX209" s="49"/>
      <c r="CY209" s="49"/>
      <c r="CZ209" s="49"/>
      <c r="DA209" s="49"/>
      <c r="DB209" s="49"/>
      <c r="DC209" s="49"/>
      <c r="DD209" s="49"/>
      <c r="DE209" s="49"/>
      <c r="DF209" s="49"/>
      <c r="DG209" s="49"/>
      <c r="DH209" s="49"/>
      <c r="DI209" s="49"/>
      <c r="DJ209" s="49"/>
      <c r="DK209" s="49"/>
      <c r="DL209" s="49"/>
      <c r="DM209" s="49"/>
      <c r="DN209" s="49"/>
      <c r="DO209" s="49"/>
      <c r="DP209" s="49"/>
      <c r="DQ209" s="49"/>
      <c r="DR209" s="49"/>
      <c r="DS209" s="49"/>
      <c r="DT209" s="49"/>
      <c r="DU209" s="49"/>
      <c r="DV209" s="49"/>
      <c r="DW209" s="49"/>
      <c r="DX209" s="49"/>
      <c r="DY209" s="49"/>
      <c r="DZ209" s="49"/>
      <c r="EA209" s="49"/>
      <c r="EB209" s="49"/>
      <c r="EC209" s="49"/>
      <c r="ED209" s="49"/>
      <c r="EE209" s="49"/>
      <c r="EF209" s="49"/>
      <c r="EG209" s="49"/>
      <c r="EH209" s="49"/>
      <c r="EI209" s="49"/>
      <c r="EJ209" s="49"/>
      <c r="EK209" s="49"/>
      <c r="EL209" s="49"/>
      <c r="EM209" s="49"/>
      <c r="EN209" s="49"/>
      <c r="EO209" s="49"/>
      <c r="EP209" s="49"/>
      <c r="EQ209" s="49"/>
      <c r="ER209" s="49"/>
      <c r="ES209" s="49"/>
      <c r="ET209" s="49"/>
      <c r="EU209" s="49"/>
      <c r="EV209" s="49"/>
      <c r="EW209" s="49"/>
      <c r="EX209" s="49"/>
      <c r="EY209" s="49"/>
      <c r="EZ209" s="49"/>
      <c r="FA209" s="49"/>
      <c r="FB209" s="49"/>
      <c r="FC209" s="49"/>
      <c r="FD209" s="49"/>
      <c r="FE209" s="49"/>
      <c r="FF209" s="49"/>
      <c r="FG209" s="49"/>
      <c r="FH209" s="49"/>
      <c r="FI209" s="49"/>
      <c r="FJ209" s="49"/>
      <c r="FK209" s="49"/>
      <c r="FL209" s="49"/>
      <c r="FM209" s="49"/>
      <c r="FN209" s="49"/>
      <c r="FO209" s="49"/>
      <c r="FP209" s="49"/>
      <c r="FQ209" s="49"/>
      <c r="FR209" s="49"/>
      <c r="FS209" s="49"/>
      <c r="FT209" s="49"/>
      <c r="FU209" s="49"/>
      <c r="FV209" s="49"/>
      <c r="FW209" s="49"/>
      <c r="FX209" s="49"/>
      <c r="FY209" s="49"/>
      <c r="FZ209" s="49"/>
      <c r="GA209" s="49"/>
      <c r="GB209" s="49"/>
      <c r="GC209" s="49"/>
      <c r="GD209" s="49"/>
      <c r="GE209" s="49"/>
      <c r="GF209" s="49"/>
      <c r="GG209" s="49"/>
      <c r="GH209" s="49"/>
      <c r="GI209" s="49"/>
      <c r="GJ209" s="49"/>
      <c r="GK209" s="49"/>
      <c r="GL209" s="49"/>
      <c r="GM209" s="49"/>
      <c r="GN209" s="49"/>
      <c r="GO209" s="49"/>
      <c r="GP209" s="49"/>
      <c r="GQ209" s="49"/>
      <c r="GR209" s="49"/>
      <c r="GS209" s="49"/>
      <c r="GT209" s="49"/>
      <c r="GU209" s="49"/>
      <c r="GV209" s="49"/>
      <c r="GW209" s="49"/>
      <c r="GX209" s="49"/>
      <c r="GY209" s="49"/>
      <c r="GZ209" s="49"/>
      <c r="HA209" s="49"/>
      <c r="HB209" s="49"/>
      <c r="HC209" s="49"/>
      <c r="HD209" s="49"/>
      <c r="HE209" s="49"/>
      <c r="HF209" s="49"/>
      <c r="HG209" s="49"/>
      <c r="HH209" s="49"/>
      <c r="HI209" s="49"/>
      <c r="HJ209" s="49"/>
      <c r="HK209" s="49"/>
      <c r="HL209" s="49"/>
      <c r="HM209" s="49"/>
      <c r="HN209" s="49"/>
      <c r="HO209" s="49"/>
      <c r="HP209" s="49"/>
      <c r="HQ209" s="49"/>
      <c r="HR209" s="49"/>
      <c r="HS209" s="49"/>
    </row>
    <row r="210" spans="1:227" s="15" customFormat="1" ht="12">
      <c r="A210" s="96"/>
      <c r="C210" s="15" t="s">
        <v>15</v>
      </c>
      <c r="G210" s="230"/>
      <c r="H210" s="127"/>
      <c r="I210" s="477"/>
      <c r="J210" s="477"/>
      <c r="K210" s="477"/>
      <c r="L210" s="475"/>
      <c r="M210" s="111"/>
      <c r="N210" s="111"/>
      <c r="O210" s="111"/>
      <c r="P210" s="111"/>
      <c r="Q210" s="111"/>
      <c r="R210" s="111"/>
      <c r="S210" s="111"/>
      <c r="T210" s="111"/>
      <c r="U210" s="111"/>
      <c r="V210" s="111"/>
      <c r="W210" s="111"/>
      <c r="X210" s="111"/>
      <c r="Y210" s="111"/>
      <c r="Z210" s="111"/>
      <c r="AA210" s="111"/>
      <c r="AB210" s="111"/>
      <c r="AC210" s="111"/>
      <c r="AD210" s="111"/>
      <c r="AE210" s="111"/>
      <c r="AF210" s="111"/>
      <c r="AG210" s="111"/>
      <c r="AH210" s="111"/>
      <c r="AI210" s="111"/>
      <c r="AJ210" s="111"/>
      <c r="AK210" s="111"/>
      <c r="AL210" s="111"/>
      <c r="AM210" s="111"/>
      <c r="AN210" s="111"/>
      <c r="AO210" s="111"/>
      <c r="AP210" s="111"/>
      <c r="AQ210" s="111"/>
      <c r="AR210" s="111"/>
      <c r="AS210" s="111"/>
      <c r="AT210" s="111"/>
      <c r="AU210" s="111"/>
      <c r="AV210" s="111"/>
      <c r="AW210" s="111"/>
      <c r="AX210" s="111"/>
      <c r="AY210" s="111"/>
      <c r="AZ210" s="111"/>
      <c r="BA210" s="111"/>
      <c r="BB210" s="111"/>
      <c r="BC210" s="111"/>
      <c r="BD210" s="111"/>
      <c r="BE210" s="111"/>
      <c r="BF210" s="111"/>
      <c r="BG210" s="111"/>
      <c r="BH210" s="111"/>
      <c r="BI210" s="111"/>
      <c r="BJ210" s="111"/>
      <c r="BK210" s="111"/>
      <c r="BL210" s="111"/>
      <c r="BM210" s="111"/>
      <c r="BN210" s="111"/>
      <c r="BO210" s="111"/>
      <c r="BP210" s="111"/>
      <c r="BQ210" s="111"/>
      <c r="BR210" s="111"/>
      <c r="BS210" s="111"/>
      <c r="BT210" s="111"/>
      <c r="BU210" s="111"/>
      <c r="BV210" s="111"/>
      <c r="BW210" s="111"/>
      <c r="BX210" s="111"/>
      <c r="BY210" s="111"/>
      <c r="BZ210" s="111"/>
      <c r="CA210" s="111"/>
      <c r="CB210" s="111"/>
      <c r="CC210" s="49"/>
      <c r="CD210" s="49"/>
      <c r="CE210" s="49"/>
      <c r="CF210" s="49"/>
      <c r="CG210" s="49"/>
      <c r="CH210" s="49"/>
      <c r="CI210" s="49"/>
      <c r="CJ210" s="49"/>
      <c r="CK210" s="49"/>
      <c r="CL210" s="49"/>
      <c r="CM210" s="49"/>
      <c r="CN210" s="49"/>
      <c r="CO210" s="49"/>
      <c r="CP210" s="49"/>
      <c r="CQ210" s="49"/>
      <c r="CR210" s="49"/>
      <c r="CS210" s="49"/>
      <c r="CT210" s="49"/>
      <c r="CU210" s="49"/>
      <c r="CV210" s="49"/>
      <c r="CW210" s="49"/>
      <c r="CX210" s="49"/>
      <c r="CY210" s="49"/>
      <c r="CZ210" s="49"/>
      <c r="DA210" s="49"/>
      <c r="DB210" s="49"/>
      <c r="DC210" s="49"/>
      <c r="DD210" s="49"/>
      <c r="DE210" s="49"/>
      <c r="DF210" s="49"/>
      <c r="DG210" s="49"/>
      <c r="DH210" s="49"/>
      <c r="DI210" s="49"/>
      <c r="DJ210" s="49"/>
      <c r="DK210" s="49"/>
      <c r="DL210" s="49"/>
      <c r="DM210" s="49"/>
      <c r="DN210" s="49"/>
      <c r="DO210" s="49"/>
      <c r="DP210" s="49"/>
      <c r="DQ210" s="49"/>
      <c r="DR210" s="49"/>
      <c r="DS210" s="49"/>
      <c r="DT210" s="49"/>
      <c r="DU210" s="49"/>
      <c r="DV210" s="49"/>
      <c r="DW210" s="49"/>
      <c r="DX210" s="49"/>
      <c r="DY210" s="49"/>
      <c r="DZ210" s="49"/>
      <c r="EA210" s="49"/>
      <c r="EB210" s="49"/>
      <c r="EC210" s="49"/>
      <c r="ED210" s="49"/>
      <c r="EE210" s="49"/>
      <c r="EF210" s="49"/>
      <c r="EG210" s="49"/>
      <c r="EH210" s="49"/>
      <c r="EI210" s="49"/>
      <c r="EJ210" s="49"/>
      <c r="EK210" s="49"/>
      <c r="EL210" s="49"/>
      <c r="EM210" s="49"/>
      <c r="EN210" s="49"/>
      <c r="EO210" s="49"/>
      <c r="EP210" s="49"/>
      <c r="EQ210" s="49"/>
      <c r="ER210" s="49"/>
      <c r="ES210" s="49"/>
      <c r="ET210" s="49"/>
      <c r="EU210" s="49"/>
      <c r="EV210" s="49"/>
      <c r="EW210" s="49"/>
      <c r="EX210" s="49"/>
      <c r="EY210" s="49"/>
      <c r="EZ210" s="49"/>
      <c r="FA210" s="49"/>
      <c r="FB210" s="49"/>
      <c r="FC210" s="49"/>
      <c r="FD210" s="49"/>
      <c r="FE210" s="49"/>
      <c r="FF210" s="49"/>
      <c r="FG210" s="49"/>
      <c r="FH210" s="49"/>
      <c r="FI210" s="49"/>
      <c r="FJ210" s="49"/>
      <c r="FK210" s="49"/>
      <c r="FL210" s="49"/>
      <c r="FM210" s="49"/>
      <c r="FN210" s="49"/>
      <c r="FO210" s="49"/>
      <c r="FP210" s="49"/>
      <c r="FQ210" s="49"/>
      <c r="FR210" s="49"/>
      <c r="FS210" s="49"/>
      <c r="FT210" s="49"/>
      <c r="FU210" s="49"/>
      <c r="FV210" s="49"/>
      <c r="FW210" s="49"/>
      <c r="FX210" s="49"/>
      <c r="FY210" s="49"/>
      <c r="FZ210" s="49"/>
      <c r="GA210" s="49"/>
      <c r="GB210" s="49"/>
      <c r="GC210" s="49"/>
      <c r="GD210" s="49"/>
      <c r="GE210" s="49"/>
      <c r="GF210" s="49"/>
      <c r="GG210" s="49"/>
      <c r="GH210" s="49"/>
      <c r="GI210" s="49"/>
      <c r="GJ210" s="49"/>
      <c r="GK210" s="49"/>
      <c r="GL210" s="49"/>
      <c r="GM210" s="49"/>
      <c r="GN210" s="49"/>
      <c r="GO210" s="49"/>
      <c r="GP210" s="49"/>
      <c r="GQ210" s="49"/>
      <c r="GR210" s="49"/>
      <c r="GS210" s="49"/>
      <c r="GT210" s="49"/>
      <c r="GU210" s="49"/>
      <c r="GV210" s="49"/>
      <c r="GW210" s="49"/>
      <c r="GX210" s="49"/>
      <c r="GY210" s="49"/>
      <c r="GZ210" s="49"/>
      <c r="HA210" s="49"/>
      <c r="HB210" s="49"/>
      <c r="HC210" s="49"/>
      <c r="HD210" s="49"/>
      <c r="HE210" s="49"/>
      <c r="HF210" s="49"/>
      <c r="HG210" s="49"/>
      <c r="HH210" s="49"/>
      <c r="HI210" s="49"/>
      <c r="HJ210" s="49"/>
      <c r="HK210" s="49"/>
      <c r="HL210" s="49"/>
      <c r="HM210" s="49"/>
      <c r="HN210" s="49"/>
      <c r="HO210" s="49"/>
      <c r="HP210" s="49"/>
      <c r="HQ210" s="49"/>
      <c r="HR210" s="49"/>
      <c r="HS210" s="49"/>
    </row>
    <row r="211" spans="1:227" s="15" customFormat="1" ht="12">
      <c r="A211" s="96" t="s">
        <v>304</v>
      </c>
      <c r="D211" s="15" t="s">
        <v>11</v>
      </c>
      <c r="G211" s="230"/>
      <c r="H211" s="127"/>
      <c r="I211" s="477"/>
      <c r="J211" s="477"/>
      <c r="K211" s="477"/>
      <c r="L211" s="475"/>
      <c r="M211" s="111"/>
      <c r="N211" s="111"/>
      <c r="O211" s="111"/>
      <c r="P211" s="111"/>
      <c r="Q211" s="111"/>
      <c r="R211" s="111"/>
      <c r="S211" s="111"/>
      <c r="T211" s="111"/>
      <c r="U211" s="111"/>
      <c r="V211" s="111"/>
      <c r="W211" s="111"/>
      <c r="X211" s="111"/>
      <c r="Y211" s="111"/>
      <c r="Z211" s="111"/>
      <c r="AA211" s="111"/>
      <c r="AB211" s="111"/>
      <c r="AC211" s="111"/>
      <c r="AD211" s="111"/>
      <c r="AE211" s="111"/>
      <c r="AF211" s="111"/>
      <c r="AG211" s="111"/>
      <c r="AH211" s="111"/>
      <c r="AI211" s="111"/>
      <c r="AJ211" s="111"/>
      <c r="AK211" s="111"/>
      <c r="AL211" s="111"/>
      <c r="AM211" s="111"/>
      <c r="AN211" s="111"/>
      <c r="AO211" s="111"/>
      <c r="AP211" s="111"/>
      <c r="AQ211" s="111"/>
      <c r="AR211" s="111"/>
      <c r="AS211" s="111"/>
      <c r="AT211" s="111"/>
      <c r="AU211" s="111"/>
      <c r="AV211" s="111"/>
      <c r="AW211" s="111"/>
      <c r="AX211" s="111"/>
      <c r="AY211" s="111"/>
      <c r="AZ211" s="111"/>
      <c r="BA211" s="111"/>
      <c r="BB211" s="111"/>
      <c r="BC211" s="111"/>
      <c r="BD211" s="111"/>
      <c r="BE211" s="111"/>
      <c r="BF211" s="111"/>
      <c r="BG211" s="111"/>
      <c r="BH211" s="111"/>
      <c r="BI211" s="111"/>
      <c r="BJ211" s="111"/>
      <c r="BK211" s="111"/>
      <c r="BL211" s="111"/>
      <c r="BM211" s="111"/>
      <c r="BN211" s="111"/>
      <c r="BO211" s="111"/>
      <c r="BP211" s="111"/>
      <c r="BQ211" s="111"/>
      <c r="BR211" s="111"/>
      <c r="BS211" s="111"/>
      <c r="BT211" s="111"/>
      <c r="BU211" s="111"/>
      <c r="BV211" s="111"/>
      <c r="BW211" s="111"/>
      <c r="BX211" s="111"/>
      <c r="BY211" s="111"/>
      <c r="BZ211" s="111"/>
      <c r="CA211" s="111"/>
      <c r="CB211" s="111"/>
      <c r="CC211" s="49"/>
      <c r="CD211" s="49"/>
      <c r="CE211" s="49"/>
      <c r="CF211" s="49"/>
      <c r="CG211" s="49"/>
      <c r="CH211" s="49"/>
      <c r="CI211" s="49"/>
      <c r="CJ211" s="49"/>
      <c r="CK211" s="49"/>
      <c r="CL211" s="49"/>
      <c r="CM211" s="49"/>
      <c r="CN211" s="49"/>
      <c r="CO211" s="49"/>
      <c r="CP211" s="49"/>
      <c r="CQ211" s="49"/>
      <c r="CR211" s="49"/>
      <c r="CS211" s="49"/>
      <c r="CT211" s="49"/>
      <c r="CU211" s="49"/>
      <c r="CV211" s="49"/>
      <c r="CW211" s="49"/>
      <c r="CX211" s="49"/>
      <c r="CY211" s="49"/>
      <c r="CZ211" s="49"/>
      <c r="DA211" s="49"/>
      <c r="DB211" s="49"/>
      <c r="DC211" s="49"/>
      <c r="DD211" s="49"/>
      <c r="DE211" s="49"/>
      <c r="DF211" s="49"/>
      <c r="DG211" s="49"/>
      <c r="DH211" s="49"/>
      <c r="DI211" s="49"/>
      <c r="DJ211" s="49"/>
      <c r="DK211" s="49"/>
      <c r="DL211" s="49"/>
      <c r="DM211" s="49"/>
      <c r="DN211" s="49"/>
      <c r="DO211" s="49"/>
      <c r="DP211" s="49"/>
      <c r="DQ211" s="49"/>
      <c r="DR211" s="49"/>
      <c r="DS211" s="49"/>
      <c r="DT211" s="49"/>
      <c r="DU211" s="49"/>
      <c r="DV211" s="49"/>
      <c r="DW211" s="49"/>
      <c r="DX211" s="49"/>
      <c r="DY211" s="49"/>
      <c r="DZ211" s="49"/>
      <c r="EA211" s="49"/>
      <c r="EB211" s="49"/>
      <c r="EC211" s="49"/>
      <c r="ED211" s="49"/>
      <c r="EE211" s="49"/>
      <c r="EF211" s="49"/>
      <c r="EG211" s="49"/>
      <c r="EH211" s="49"/>
      <c r="EI211" s="49"/>
      <c r="EJ211" s="49"/>
      <c r="EK211" s="49"/>
      <c r="EL211" s="49"/>
      <c r="EM211" s="49"/>
      <c r="EN211" s="49"/>
      <c r="EO211" s="49"/>
      <c r="EP211" s="49"/>
      <c r="EQ211" s="49"/>
      <c r="ER211" s="49"/>
      <c r="ES211" s="49"/>
      <c r="ET211" s="49"/>
      <c r="EU211" s="49"/>
      <c r="EV211" s="49"/>
      <c r="EW211" s="49"/>
      <c r="EX211" s="49"/>
      <c r="EY211" s="49"/>
      <c r="EZ211" s="49"/>
      <c r="FA211" s="49"/>
      <c r="FB211" s="49"/>
      <c r="FC211" s="49"/>
      <c r="FD211" s="49"/>
      <c r="FE211" s="49"/>
      <c r="FF211" s="49"/>
      <c r="FG211" s="49"/>
      <c r="FH211" s="49"/>
      <c r="FI211" s="49"/>
      <c r="FJ211" s="49"/>
      <c r="FK211" s="49"/>
      <c r="FL211" s="49"/>
      <c r="FM211" s="49"/>
      <c r="FN211" s="49"/>
      <c r="FO211" s="49"/>
      <c r="FP211" s="49"/>
      <c r="FQ211" s="49"/>
      <c r="FR211" s="49"/>
      <c r="FS211" s="49"/>
      <c r="FT211" s="49"/>
      <c r="FU211" s="49"/>
      <c r="FV211" s="49"/>
      <c r="FW211" s="49"/>
      <c r="FX211" s="49"/>
      <c r="FY211" s="49"/>
      <c r="FZ211" s="49"/>
      <c r="GA211" s="49"/>
      <c r="GB211" s="49"/>
      <c r="GC211" s="49"/>
      <c r="GD211" s="49"/>
      <c r="GE211" s="49"/>
      <c r="GF211" s="49"/>
      <c r="GG211" s="49"/>
      <c r="GH211" s="49"/>
      <c r="GI211" s="49"/>
      <c r="GJ211" s="49"/>
      <c r="GK211" s="49"/>
      <c r="GL211" s="49"/>
      <c r="GM211" s="49"/>
      <c r="GN211" s="49"/>
      <c r="GO211" s="49"/>
      <c r="GP211" s="49"/>
      <c r="GQ211" s="49"/>
      <c r="GR211" s="49"/>
      <c r="GS211" s="49"/>
      <c r="GT211" s="49"/>
      <c r="GU211" s="49"/>
      <c r="GV211" s="49"/>
      <c r="GW211" s="49"/>
      <c r="GX211" s="49"/>
      <c r="GY211" s="49"/>
      <c r="GZ211" s="49"/>
      <c r="HA211" s="49"/>
      <c r="HB211" s="49"/>
      <c r="HC211" s="49"/>
      <c r="HD211" s="49"/>
      <c r="HE211" s="49"/>
      <c r="HF211" s="49"/>
      <c r="HG211" s="49"/>
      <c r="HH211" s="49"/>
      <c r="HI211" s="49"/>
      <c r="HJ211" s="49"/>
      <c r="HK211" s="49"/>
      <c r="HL211" s="49"/>
      <c r="HM211" s="49"/>
      <c r="HN211" s="49"/>
      <c r="HO211" s="49"/>
      <c r="HP211" s="49"/>
      <c r="HQ211" s="49"/>
      <c r="HR211" s="49"/>
      <c r="HS211" s="49"/>
    </row>
    <row r="212" spans="1:227" s="15" customFormat="1" ht="12">
      <c r="A212" s="96" t="s">
        <v>305</v>
      </c>
      <c r="D212" s="15" t="s">
        <v>12</v>
      </c>
      <c r="G212" s="230"/>
      <c r="H212" s="127"/>
      <c r="I212" s="477"/>
      <c r="J212" s="477"/>
      <c r="K212" s="477"/>
      <c r="L212" s="475"/>
      <c r="M212" s="111"/>
      <c r="N212" s="111"/>
      <c r="O212" s="111"/>
      <c r="P212" s="111"/>
      <c r="Q212" s="111"/>
      <c r="R212" s="111"/>
      <c r="S212" s="111"/>
      <c r="T212" s="111"/>
      <c r="U212" s="111"/>
      <c r="V212" s="111"/>
      <c r="W212" s="111"/>
      <c r="X212" s="111"/>
      <c r="Y212" s="111"/>
      <c r="Z212" s="111"/>
      <c r="AA212" s="111"/>
      <c r="AB212" s="111"/>
      <c r="AC212" s="111"/>
      <c r="AD212" s="111"/>
      <c r="AE212" s="111"/>
      <c r="AF212" s="111"/>
      <c r="AG212" s="111"/>
      <c r="AH212" s="111"/>
      <c r="AI212" s="111"/>
      <c r="AJ212" s="111"/>
      <c r="AK212" s="111"/>
      <c r="AL212" s="111"/>
      <c r="AM212" s="111"/>
      <c r="AN212" s="111"/>
      <c r="AO212" s="111"/>
      <c r="AP212" s="111"/>
      <c r="AQ212" s="111"/>
      <c r="AR212" s="111"/>
      <c r="AS212" s="111"/>
      <c r="AT212" s="111"/>
      <c r="AU212" s="111"/>
      <c r="AV212" s="111"/>
      <c r="AW212" s="111"/>
      <c r="AX212" s="111"/>
      <c r="AY212" s="111"/>
      <c r="AZ212" s="111"/>
      <c r="BA212" s="111"/>
      <c r="BB212" s="111"/>
      <c r="BC212" s="111"/>
      <c r="BD212" s="111"/>
      <c r="BE212" s="111"/>
      <c r="BF212" s="111"/>
      <c r="BG212" s="111"/>
      <c r="BH212" s="111"/>
      <c r="BI212" s="111"/>
      <c r="BJ212" s="111"/>
      <c r="BK212" s="111"/>
      <c r="BL212" s="111"/>
      <c r="BM212" s="111"/>
      <c r="BN212" s="111"/>
      <c r="BO212" s="111"/>
      <c r="BP212" s="111"/>
      <c r="BQ212" s="111"/>
      <c r="BR212" s="111"/>
      <c r="BS212" s="111"/>
      <c r="BT212" s="111"/>
      <c r="BU212" s="111"/>
      <c r="BV212" s="111"/>
      <c r="BW212" s="111"/>
      <c r="BX212" s="111"/>
      <c r="BY212" s="111"/>
      <c r="BZ212" s="111"/>
      <c r="CA212" s="111"/>
      <c r="CB212" s="111"/>
      <c r="CC212" s="49"/>
      <c r="CD212" s="49"/>
      <c r="CE212" s="49"/>
      <c r="CF212" s="49"/>
      <c r="CG212" s="49"/>
      <c r="CH212" s="49"/>
      <c r="CI212" s="49"/>
      <c r="CJ212" s="49"/>
      <c r="CK212" s="49"/>
      <c r="CL212" s="49"/>
      <c r="CM212" s="49"/>
      <c r="CN212" s="49"/>
      <c r="CO212" s="49"/>
      <c r="CP212" s="49"/>
      <c r="CQ212" s="49"/>
      <c r="CR212" s="49"/>
      <c r="CS212" s="49"/>
      <c r="CT212" s="49"/>
      <c r="CU212" s="49"/>
      <c r="CV212" s="49"/>
      <c r="CW212" s="49"/>
      <c r="CX212" s="49"/>
      <c r="CY212" s="49"/>
      <c r="CZ212" s="49"/>
      <c r="DA212" s="49"/>
      <c r="DB212" s="49"/>
      <c r="DC212" s="49"/>
      <c r="DD212" s="49"/>
      <c r="DE212" s="49"/>
      <c r="DF212" s="49"/>
      <c r="DG212" s="49"/>
      <c r="DH212" s="49"/>
      <c r="DI212" s="49"/>
      <c r="DJ212" s="49"/>
      <c r="DK212" s="49"/>
      <c r="DL212" s="49"/>
      <c r="DM212" s="49"/>
      <c r="DN212" s="49"/>
      <c r="DO212" s="49"/>
      <c r="DP212" s="49"/>
      <c r="DQ212" s="49"/>
      <c r="DR212" s="49"/>
      <c r="DS212" s="49"/>
      <c r="DT212" s="49"/>
      <c r="DU212" s="49"/>
      <c r="DV212" s="49"/>
      <c r="DW212" s="49"/>
      <c r="DX212" s="49"/>
      <c r="DY212" s="49"/>
      <c r="DZ212" s="49"/>
      <c r="EA212" s="49"/>
      <c r="EB212" s="49"/>
      <c r="EC212" s="49"/>
      <c r="ED212" s="49"/>
      <c r="EE212" s="49"/>
      <c r="EF212" s="49"/>
      <c r="EG212" s="49"/>
      <c r="EH212" s="49"/>
      <c r="EI212" s="49"/>
      <c r="EJ212" s="49"/>
      <c r="EK212" s="49"/>
      <c r="EL212" s="49"/>
      <c r="EM212" s="49"/>
      <c r="EN212" s="49"/>
      <c r="EO212" s="49"/>
      <c r="EP212" s="49"/>
      <c r="EQ212" s="49"/>
      <c r="ER212" s="49"/>
      <c r="ES212" s="49"/>
      <c r="ET212" s="49"/>
      <c r="EU212" s="49"/>
      <c r="EV212" s="49"/>
      <c r="EW212" s="49"/>
      <c r="EX212" s="49"/>
      <c r="EY212" s="49"/>
      <c r="EZ212" s="49"/>
      <c r="FA212" s="49"/>
      <c r="FB212" s="49"/>
      <c r="FC212" s="49"/>
      <c r="FD212" s="49"/>
      <c r="FE212" s="49"/>
      <c r="FF212" s="49"/>
      <c r="FG212" s="49"/>
      <c r="FH212" s="49"/>
      <c r="FI212" s="49"/>
      <c r="FJ212" s="49"/>
      <c r="FK212" s="49"/>
      <c r="FL212" s="49"/>
      <c r="FM212" s="49"/>
      <c r="FN212" s="49"/>
      <c r="FO212" s="49"/>
      <c r="FP212" s="49"/>
      <c r="FQ212" s="49"/>
      <c r="FR212" s="49"/>
      <c r="FS212" s="49"/>
      <c r="FT212" s="49"/>
      <c r="FU212" s="49"/>
      <c r="FV212" s="49"/>
      <c r="FW212" s="49"/>
      <c r="FX212" s="49"/>
      <c r="FY212" s="49"/>
      <c r="FZ212" s="49"/>
      <c r="GA212" s="49"/>
      <c r="GB212" s="49"/>
      <c r="GC212" s="49"/>
      <c r="GD212" s="49"/>
      <c r="GE212" s="49"/>
      <c r="GF212" s="49"/>
      <c r="GG212" s="49"/>
      <c r="GH212" s="49"/>
      <c r="GI212" s="49"/>
      <c r="GJ212" s="49"/>
      <c r="GK212" s="49"/>
      <c r="GL212" s="49"/>
      <c r="GM212" s="49"/>
      <c r="GN212" s="49"/>
      <c r="GO212" s="49"/>
      <c r="GP212" s="49"/>
      <c r="GQ212" s="49"/>
      <c r="GR212" s="49"/>
      <c r="GS212" s="49"/>
      <c r="GT212" s="49"/>
      <c r="GU212" s="49"/>
      <c r="GV212" s="49"/>
      <c r="GW212" s="49"/>
      <c r="GX212" s="49"/>
      <c r="GY212" s="49"/>
      <c r="GZ212" s="49"/>
      <c r="HA212" s="49"/>
      <c r="HB212" s="49"/>
      <c r="HC212" s="49"/>
      <c r="HD212" s="49"/>
      <c r="HE212" s="49"/>
      <c r="HF212" s="49"/>
      <c r="HG212" s="49"/>
      <c r="HH212" s="49"/>
      <c r="HI212" s="49"/>
      <c r="HJ212" s="49"/>
      <c r="HK212" s="49"/>
      <c r="HL212" s="49"/>
      <c r="HM212" s="49"/>
      <c r="HN212" s="49"/>
      <c r="HO212" s="49"/>
      <c r="HP212" s="49"/>
      <c r="HQ212" s="49"/>
      <c r="HR212" s="49"/>
      <c r="HS212" s="49"/>
    </row>
    <row r="213" spans="1:227" s="15" customFormat="1" ht="12">
      <c r="A213" s="96" t="s">
        <v>306</v>
      </c>
      <c r="D213" s="15" t="s">
        <v>13</v>
      </c>
      <c r="G213" s="230"/>
      <c r="H213" s="127"/>
      <c r="I213" s="477"/>
      <c r="J213" s="474"/>
      <c r="K213" s="477"/>
      <c r="L213" s="475"/>
      <c r="M213" s="111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  <c r="Y213" s="111"/>
      <c r="Z213" s="111"/>
      <c r="AA213" s="111"/>
      <c r="AB213" s="111"/>
      <c r="AC213" s="111"/>
      <c r="AD213" s="111"/>
      <c r="AE213" s="111"/>
      <c r="AF213" s="111"/>
      <c r="AG213" s="111"/>
      <c r="AH213" s="111"/>
      <c r="AI213" s="111"/>
      <c r="AJ213" s="111"/>
      <c r="AK213" s="111"/>
      <c r="AL213" s="111"/>
      <c r="AM213" s="111"/>
      <c r="AN213" s="111"/>
      <c r="AO213" s="111"/>
      <c r="AP213" s="111"/>
      <c r="AQ213" s="111"/>
      <c r="AR213" s="111"/>
      <c r="AS213" s="111"/>
      <c r="AT213" s="111"/>
      <c r="AU213" s="111"/>
      <c r="AV213" s="111"/>
      <c r="AW213" s="111"/>
      <c r="AX213" s="111"/>
      <c r="AY213" s="111"/>
      <c r="AZ213" s="111"/>
      <c r="BA213" s="111"/>
      <c r="BB213" s="111"/>
      <c r="BC213" s="111"/>
      <c r="BD213" s="111"/>
      <c r="BE213" s="111"/>
      <c r="BF213" s="111"/>
      <c r="BG213" s="111"/>
      <c r="BH213" s="111"/>
      <c r="BI213" s="111"/>
      <c r="BJ213" s="111"/>
      <c r="BK213" s="111"/>
      <c r="BL213" s="111"/>
      <c r="BM213" s="111"/>
      <c r="BN213" s="111"/>
      <c r="BO213" s="111"/>
      <c r="BP213" s="111"/>
      <c r="BQ213" s="111"/>
      <c r="BR213" s="111"/>
      <c r="BS213" s="111"/>
      <c r="BT213" s="111"/>
      <c r="BU213" s="111"/>
      <c r="BV213" s="111"/>
      <c r="BW213" s="111"/>
      <c r="BX213" s="111"/>
      <c r="BY213" s="111"/>
      <c r="BZ213" s="111"/>
      <c r="CA213" s="111"/>
      <c r="CB213" s="111"/>
      <c r="CC213" s="49"/>
      <c r="CD213" s="49"/>
      <c r="CE213" s="49"/>
      <c r="CF213" s="49"/>
      <c r="CG213" s="49"/>
      <c r="CH213" s="49"/>
      <c r="CI213" s="49"/>
      <c r="CJ213" s="49"/>
      <c r="CK213" s="49"/>
      <c r="CL213" s="49"/>
      <c r="CM213" s="49"/>
      <c r="CN213" s="49"/>
      <c r="CO213" s="49"/>
      <c r="CP213" s="49"/>
      <c r="CQ213" s="49"/>
      <c r="CR213" s="49"/>
      <c r="CS213" s="49"/>
      <c r="CT213" s="49"/>
      <c r="CU213" s="49"/>
      <c r="CV213" s="49"/>
      <c r="CW213" s="49"/>
      <c r="CX213" s="49"/>
      <c r="CY213" s="49"/>
      <c r="CZ213" s="49"/>
      <c r="DA213" s="49"/>
      <c r="DB213" s="49"/>
      <c r="DC213" s="49"/>
      <c r="DD213" s="49"/>
      <c r="DE213" s="49"/>
      <c r="DF213" s="49"/>
      <c r="DG213" s="49"/>
      <c r="DH213" s="49"/>
      <c r="DI213" s="49"/>
      <c r="DJ213" s="49"/>
      <c r="DK213" s="49"/>
      <c r="DL213" s="49"/>
      <c r="DM213" s="49"/>
      <c r="DN213" s="49"/>
      <c r="DO213" s="49"/>
      <c r="DP213" s="49"/>
      <c r="DQ213" s="49"/>
      <c r="DR213" s="49"/>
      <c r="DS213" s="49"/>
      <c r="DT213" s="49"/>
      <c r="DU213" s="49"/>
      <c r="DV213" s="49"/>
      <c r="DW213" s="49"/>
      <c r="DX213" s="49"/>
      <c r="DY213" s="49"/>
      <c r="DZ213" s="49"/>
      <c r="EA213" s="49"/>
      <c r="EB213" s="49"/>
      <c r="EC213" s="49"/>
      <c r="ED213" s="49"/>
      <c r="EE213" s="49"/>
      <c r="EF213" s="49"/>
      <c r="EG213" s="49"/>
      <c r="EH213" s="49"/>
      <c r="EI213" s="49"/>
      <c r="EJ213" s="49"/>
      <c r="EK213" s="49"/>
      <c r="EL213" s="49"/>
      <c r="EM213" s="49"/>
      <c r="EN213" s="49"/>
      <c r="EO213" s="49"/>
      <c r="EP213" s="49"/>
      <c r="EQ213" s="49"/>
      <c r="ER213" s="49"/>
      <c r="ES213" s="49"/>
      <c r="ET213" s="49"/>
      <c r="EU213" s="49"/>
      <c r="EV213" s="49"/>
      <c r="EW213" s="49"/>
      <c r="EX213" s="49"/>
      <c r="EY213" s="49"/>
      <c r="EZ213" s="49"/>
      <c r="FA213" s="49"/>
      <c r="FB213" s="49"/>
      <c r="FC213" s="49"/>
      <c r="FD213" s="49"/>
      <c r="FE213" s="49"/>
      <c r="FF213" s="49"/>
      <c r="FG213" s="49"/>
      <c r="FH213" s="49"/>
      <c r="FI213" s="49"/>
      <c r="FJ213" s="49"/>
      <c r="FK213" s="49"/>
      <c r="FL213" s="49"/>
      <c r="FM213" s="49"/>
      <c r="FN213" s="49"/>
      <c r="FO213" s="49"/>
      <c r="FP213" s="49"/>
      <c r="FQ213" s="49"/>
      <c r="FR213" s="49"/>
      <c r="FS213" s="49"/>
      <c r="FT213" s="49"/>
      <c r="FU213" s="49"/>
      <c r="FV213" s="49"/>
      <c r="FW213" s="49"/>
      <c r="FX213" s="49"/>
      <c r="FY213" s="49"/>
      <c r="FZ213" s="49"/>
      <c r="GA213" s="49"/>
      <c r="GB213" s="49"/>
      <c r="GC213" s="49"/>
      <c r="GD213" s="49"/>
      <c r="GE213" s="49"/>
      <c r="GF213" s="49"/>
      <c r="GG213" s="49"/>
      <c r="GH213" s="49"/>
      <c r="GI213" s="49"/>
      <c r="GJ213" s="49"/>
      <c r="GK213" s="49"/>
      <c r="GL213" s="49"/>
      <c r="GM213" s="49"/>
      <c r="GN213" s="49"/>
      <c r="GO213" s="49"/>
      <c r="GP213" s="49"/>
      <c r="GQ213" s="49"/>
      <c r="GR213" s="49"/>
      <c r="GS213" s="49"/>
      <c r="GT213" s="49"/>
      <c r="GU213" s="49"/>
      <c r="GV213" s="49"/>
      <c r="GW213" s="49"/>
      <c r="GX213" s="49"/>
      <c r="GY213" s="49"/>
      <c r="GZ213" s="49"/>
      <c r="HA213" s="49"/>
      <c r="HB213" s="49"/>
      <c r="HC213" s="49"/>
      <c r="HD213" s="49"/>
      <c r="HE213" s="49"/>
      <c r="HF213" s="49"/>
      <c r="HG213" s="49"/>
      <c r="HH213" s="49"/>
      <c r="HI213" s="49"/>
      <c r="HJ213" s="49"/>
      <c r="HK213" s="49"/>
      <c r="HL213" s="49"/>
      <c r="HM213" s="49"/>
      <c r="HN213" s="49"/>
      <c r="HO213" s="49"/>
      <c r="HP213" s="49"/>
      <c r="HQ213" s="49"/>
      <c r="HR213" s="49"/>
      <c r="HS213" s="49"/>
    </row>
    <row r="214" spans="1:227" s="15" customFormat="1" ht="12">
      <c r="A214" s="96" t="s">
        <v>307</v>
      </c>
      <c r="D214" s="15" t="s">
        <v>14</v>
      </c>
      <c r="G214" s="230"/>
      <c r="H214" s="127"/>
      <c r="I214" s="477"/>
      <c r="J214" s="476"/>
      <c r="K214" s="477"/>
      <c r="L214" s="475"/>
      <c r="M214" s="111"/>
      <c r="N214" s="111"/>
      <c r="O214" s="111"/>
      <c r="P214" s="111"/>
      <c r="Q214" s="111"/>
      <c r="R214" s="111"/>
      <c r="S214" s="111"/>
      <c r="T214" s="111"/>
      <c r="U214" s="111"/>
      <c r="V214" s="111"/>
      <c r="W214" s="111"/>
      <c r="X214" s="111"/>
      <c r="Y214" s="111"/>
      <c r="Z214" s="111"/>
      <c r="AA214" s="111"/>
      <c r="AB214" s="111"/>
      <c r="AC214" s="111"/>
      <c r="AD214" s="111"/>
      <c r="AE214" s="111"/>
      <c r="AF214" s="111"/>
      <c r="AG214" s="111"/>
      <c r="AH214" s="111"/>
      <c r="AI214" s="111"/>
      <c r="AJ214" s="111"/>
      <c r="AK214" s="111"/>
      <c r="AL214" s="111"/>
      <c r="AM214" s="111"/>
      <c r="AN214" s="111"/>
      <c r="AO214" s="111"/>
      <c r="AP214" s="111"/>
      <c r="AQ214" s="111"/>
      <c r="AR214" s="111"/>
      <c r="AS214" s="111"/>
      <c r="AT214" s="111"/>
      <c r="AU214" s="111"/>
      <c r="AV214" s="111"/>
      <c r="AW214" s="111"/>
      <c r="AX214" s="111"/>
      <c r="AY214" s="111"/>
      <c r="AZ214" s="111"/>
      <c r="BA214" s="111"/>
      <c r="BB214" s="111"/>
      <c r="BC214" s="111"/>
      <c r="BD214" s="111"/>
      <c r="BE214" s="111"/>
      <c r="BF214" s="111"/>
      <c r="BG214" s="111"/>
      <c r="BH214" s="111"/>
      <c r="BI214" s="111"/>
      <c r="BJ214" s="111"/>
      <c r="BK214" s="111"/>
      <c r="BL214" s="111"/>
      <c r="BM214" s="111"/>
      <c r="BN214" s="111"/>
      <c r="BO214" s="111"/>
      <c r="BP214" s="111"/>
      <c r="BQ214" s="111"/>
      <c r="BR214" s="111"/>
      <c r="BS214" s="111"/>
      <c r="BT214" s="111"/>
      <c r="BU214" s="111"/>
      <c r="BV214" s="111"/>
      <c r="BW214" s="111"/>
      <c r="BX214" s="111"/>
      <c r="BY214" s="111"/>
      <c r="BZ214" s="111"/>
      <c r="CA214" s="111"/>
      <c r="CB214" s="111"/>
      <c r="CC214" s="49"/>
      <c r="CD214" s="49"/>
      <c r="CE214" s="49"/>
      <c r="CF214" s="49"/>
      <c r="CG214" s="49"/>
      <c r="CH214" s="49"/>
      <c r="CI214" s="49"/>
      <c r="CJ214" s="49"/>
      <c r="CK214" s="49"/>
      <c r="CL214" s="49"/>
      <c r="CM214" s="49"/>
      <c r="CN214" s="49"/>
      <c r="CO214" s="49"/>
      <c r="CP214" s="49"/>
      <c r="CQ214" s="49"/>
      <c r="CR214" s="49"/>
      <c r="CS214" s="49"/>
      <c r="CT214" s="49"/>
      <c r="CU214" s="49"/>
      <c r="CV214" s="49"/>
      <c r="CW214" s="49"/>
      <c r="CX214" s="49"/>
      <c r="CY214" s="49"/>
      <c r="CZ214" s="49"/>
      <c r="DA214" s="49"/>
      <c r="DB214" s="49"/>
      <c r="DC214" s="49"/>
      <c r="DD214" s="49"/>
      <c r="DE214" s="49"/>
      <c r="DF214" s="49"/>
      <c r="DG214" s="49"/>
      <c r="DH214" s="49"/>
      <c r="DI214" s="49"/>
      <c r="DJ214" s="49"/>
      <c r="DK214" s="49"/>
      <c r="DL214" s="49"/>
      <c r="DM214" s="49"/>
      <c r="DN214" s="49"/>
      <c r="DO214" s="49"/>
      <c r="DP214" s="49"/>
      <c r="DQ214" s="49"/>
      <c r="DR214" s="49"/>
      <c r="DS214" s="49"/>
      <c r="DT214" s="49"/>
      <c r="DU214" s="49"/>
      <c r="DV214" s="49"/>
      <c r="DW214" s="49"/>
      <c r="DX214" s="49"/>
      <c r="DY214" s="49"/>
      <c r="DZ214" s="49"/>
      <c r="EA214" s="49"/>
      <c r="EB214" s="49"/>
      <c r="EC214" s="49"/>
      <c r="ED214" s="49"/>
      <c r="EE214" s="49"/>
      <c r="EF214" s="49"/>
      <c r="EG214" s="49"/>
      <c r="EH214" s="49"/>
      <c r="EI214" s="49"/>
      <c r="EJ214" s="49"/>
      <c r="EK214" s="49"/>
      <c r="EL214" s="49"/>
      <c r="EM214" s="49"/>
      <c r="EN214" s="49"/>
      <c r="EO214" s="49"/>
      <c r="EP214" s="49"/>
      <c r="EQ214" s="49"/>
      <c r="ER214" s="49"/>
      <c r="ES214" s="49"/>
      <c r="ET214" s="49"/>
      <c r="EU214" s="49"/>
      <c r="EV214" s="49"/>
      <c r="EW214" s="49"/>
      <c r="EX214" s="49"/>
      <c r="EY214" s="49"/>
      <c r="EZ214" s="49"/>
      <c r="FA214" s="49"/>
      <c r="FB214" s="49"/>
      <c r="FC214" s="49"/>
      <c r="FD214" s="49"/>
      <c r="FE214" s="49"/>
      <c r="FF214" s="49"/>
      <c r="FG214" s="49"/>
      <c r="FH214" s="49"/>
      <c r="FI214" s="49"/>
      <c r="FJ214" s="49"/>
      <c r="FK214" s="49"/>
      <c r="FL214" s="49"/>
      <c r="FM214" s="49"/>
      <c r="FN214" s="49"/>
      <c r="FO214" s="49"/>
      <c r="FP214" s="49"/>
      <c r="FQ214" s="49"/>
      <c r="FR214" s="49"/>
      <c r="FS214" s="49"/>
      <c r="FT214" s="49"/>
      <c r="FU214" s="49"/>
      <c r="FV214" s="49"/>
      <c r="FW214" s="49"/>
      <c r="FX214" s="49"/>
      <c r="FY214" s="49"/>
      <c r="FZ214" s="49"/>
      <c r="GA214" s="49"/>
      <c r="GB214" s="49"/>
      <c r="GC214" s="49"/>
      <c r="GD214" s="49"/>
      <c r="GE214" s="49"/>
      <c r="GF214" s="49"/>
      <c r="GG214" s="49"/>
      <c r="GH214" s="49"/>
      <c r="GI214" s="49"/>
      <c r="GJ214" s="49"/>
      <c r="GK214" s="49"/>
      <c r="GL214" s="49"/>
      <c r="GM214" s="49"/>
      <c r="GN214" s="49"/>
      <c r="GO214" s="49"/>
      <c r="GP214" s="49"/>
      <c r="GQ214" s="49"/>
      <c r="GR214" s="49"/>
      <c r="GS214" s="49"/>
      <c r="GT214" s="49"/>
      <c r="GU214" s="49"/>
      <c r="GV214" s="49"/>
      <c r="GW214" s="49"/>
      <c r="GX214" s="49"/>
      <c r="GY214" s="49"/>
      <c r="GZ214" s="49"/>
      <c r="HA214" s="49"/>
      <c r="HB214" s="49"/>
      <c r="HC214" s="49"/>
      <c r="HD214" s="49"/>
      <c r="HE214" s="49"/>
      <c r="HF214" s="49"/>
      <c r="HG214" s="49"/>
      <c r="HH214" s="49"/>
      <c r="HI214" s="49"/>
      <c r="HJ214" s="49"/>
      <c r="HK214" s="49"/>
      <c r="HL214" s="49"/>
      <c r="HM214" s="49"/>
      <c r="HN214" s="49"/>
      <c r="HO214" s="49"/>
      <c r="HP214" s="49"/>
      <c r="HQ214" s="49"/>
      <c r="HR214" s="49"/>
      <c r="HS214" s="49"/>
    </row>
    <row r="215" spans="1:227" s="15" customFormat="1" ht="12">
      <c r="A215" s="96"/>
      <c r="C215" s="15" t="s">
        <v>16</v>
      </c>
      <c r="G215" s="230"/>
      <c r="H215" s="127"/>
      <c r="I215" s="477"/>
      <c r="J215" s="476"/>
      <c r="K215" s="477"/>
      <c r="L215" s="475"/>
      <c r="M215" s="111"/>
      <c r="N215" s="111"/>
      <c r="O215" s="111"/>
      <c r="P215" s="111"/>
      <c r="Q215" s="111"/>
      <c r="R215" s="111"/>
      <c r="S215" s="111"/>
      <c r="T215" s="111"/>
      <c r="U215" s="111"/>
      <c r="V215" s="111"/>
      <c r="W215" s="111"/>
      <c r="X215" s="111"/>
      <c r="Y215" s="111"/>
      <c r="Z215" s="111"/>
      <c r="AA215" s="111"/>
      <c r="AB215" s="111"/>
      <c r="AC215" s="111"/>
      <c r="AD215" s="111"/>
      <c r="AE215" s="111"/>
      <c r="AF215" s="111"/>
      <c r="AG215" s="111"/>
      <c r="AH215" s="111"/>
      <c r="AI215" s="111"/>
      <c r="AJ215" s="111"/>
      <c r="AK215" s="111"/>
      <c r="AL215" s="111"/>
      <c r="AM215" s="111"/>
      <c r="AN215" s="111"/>
      <c r="AO215" s="111"/>
      <c r="AP215" s="111"/>
      <c r="AQ215" s="111"/>
      <c r="AR215" s="111"/>
      <c r="AS215" s="111"/>
      <c r="AT215" s="111"/>
      <c r="AU215" s="111"/>
      <c r="AV215" s="111"/>
      <c r="AW215" s="111"/>
      <c r="AX215" s="111"/>
      <c r="AY215" s="111"/>
      <c r="AZ215" s="111"/>
      <c r="BA215" s="111"/>
      <c r="BB215" s="111"/>
      <c r="BC215" s="111"/>
      <c r="BD215" s="111"/>
      <c r="BE215" s="111"/>
      <c r="BF215" s="111"/>
      <c r="BG215" s="111"/>
      <c r="BH215" s="111"/>
      <c r="BI215" s="111"/>
      <c r="BJ215" s="111"/>
      <c r="BK215" s="111"/>
      <c r="BL215" s="111"/>
      <c r="BM215" s="111"/>
      <c r="BN215" s="111"/>
      <c r="BO215" s="111"/>
      <c r="BP215" s="111"/>
      <c r="BQ215" s="111"/>
      <c r="BR215" s="111"/>
      <c r="BS215" s="111"/>
      <c r="BT215" s="111"/>
      <c r="BU215" s="111"/>
      <c r="BV215" s="111"/>
      <c r="BW215" s="111"/>
      <c r="BX215" s="111"/>
      <c r="BY215" s="111"/>
      <c r="BZ215" s="111"/>
      <c r="CA215" s="111"/>
      <c r="CB215" s="111"/>
      <c r="CC215" s="49"/>
      <c r="CD215" s="49"/>
      <c r="CE215" s="49"/>
      <c r="CF215" s="49"/>
      <c r="CG215" s="49"/>
      <c r="CH215" s="49"/>
      <c r="CI215" s="49"/>
      <c r="CJ215" s="49"/>
      <c r="CK215" s="49"/>
      <c r="CL215" s="49"/>
      <c r="CM215" s="49"/>
      <c r="CN215" s="49"/>
      <c r="CO215" s="49"/>
      <c r="CP215" s="49"/>
      <c r="CQ215" s="49"/>
      <c r="CR215" s="49"/>
      <c r="CS215" s="49"/>
      <c r="CT215" s="49"/>
      <c r="CU215" s="49"/>
      <c r="CV215" s="49"/>
      <c r="CW215" s="49"/>
      <c r="CX215" s="49"/>
      <c r="CY215" s="49"/>
      <c r="CZ215" s="49"/>
      <c r="DA215" s="49"/>
      <c r="DB215" s="49"/>
      <c r="DC215" s="49"/>
      <c r="DD215" s="49"/>
      <c r="DE215" s="49"/>
      <c r="DF215" s="49"/>
      <c r="DG215" s="49"/>
      <c r="DH215" s="49"/>
      <c r="DI215" s="49"/>
      <c r="DJ215" s="49"/>
      <c r="DK215" s="49"/>
      <c r="DL215" s="49"/>
      <c r="DM215" s="49"/>
      <c r="DN215" s="49"/>
      <c r="DO215" s="49"/>
      <c r="DP215" s="49"/>
      <c r="DQ215" s="49"/>
      <c r="DR215" s="49"/>
      <c r="DS215" s="49"/>
      <c r="DT215" s="49"/>
      <c r="DU215" s="49"/>
      <c r="DV215" s="49"/>
      <c r="DW215" s="49"/>
      <c r="DX215" s="49"/>
      <c r="DY215" s="49"/>
      <c r="DZ215" s="49"/>
      <c r="EA215" s="49"/>
      <c r="EB215" s="49"/>
      <c r="EC215" s="49"/>
      <c r="ED215" s="49"/>
      <c r="EE215" s="49"/>
      <c r="EF215" s="49"/>
      <c r="EG215" s="49"/>
      <c r="EH215" s="49"/>
      <c r="EI215" s="49"/>
      <c r="EJ215" s="49"/>
      <c r="EK215" s="49"/>
      <c r="EL215" s="49"/>
      <c r="EM215" s="49"/>
      <c r="EN215" s="49"/>
      <c r="EO215" s="49"/>
      <c r="EP215" s="49"/>
      <c r="EQ215" s="49"/>
      <c r="ER215" s="49"/>
      <c r="ES215" s="49"/>
      <c r="ET215" s="49"/>
      <c r="EU215" s="49"/>
      <c r="EV215" s="49"/>
      <c r="EW215" s="49"/>
      <c r="EX215" s="49"/>
      <c r="EY215" s="49"/>
      <c r="EZ215" s="49"/>
      <c r="FA215" s="49"/>
      <c r="FB215" s="49"/>
      <c r="FC215" s="49"/>
      <c r="FD215" s="49"/>
      <c r="FE215" s="49"/>
      <c r="FF215" s="49"/>
      <c r="FG215" s="49"/>
      <c r="FH215" s="49"/>
      <c r="FI215" s="49"/>
      <c r="FJ215" s="49"/>
      <c r="FK215" s="49"/>
      <c r="FL215" s="49"/>
      <c r="FM215" s="49"/>
      <c r="FN215" s="49"/>
      <c r="FO215" s="49"/>
      <c r="FP215" s="49"/>
      <c r="FQ215" s="49"/>
      <c r="FR215" s="49"/>
      <c r="FS215" s="49"/>
      <c r="FT215" s="49"/>
      <c r="FU215" s="49"/>
      <c r="FV215" s="49"/>
      <c r="FW215" s="49"/>
      <c r="FX215" s="49"/>
      <c r="FY215" s="49"/>
      <c r="FZ215" s="49"/>
      <c r="GA215" s="49"/>
      <c r="GB215" s="49"/>
      <c r="GC215" s="49"/>
      <c r="GD215" s="49"/>
      <c r="GE215" s="49"/>
      <c r="GF215" s="49"/>
      <c r="GG215" s="49"/>
      <c r="GH215" s="49"/>
      <c r="GI215" s="49"/>
      <c r="GJ215" s="49"/>
      <c r="GK215" s="49"/>
      <c r="GL215" s="49"/>
      <c r="GM215" s="49"/>
      <c r="GN215" s="49"/>
      <c r="GO215" s="49"/>
      <c r="GP215" s="49"/>
      <c r="GQ215" s="49"/>
      <c r="GR215" s="49"/>
      <c r="GS215" s="49"/>
      <c r="GT215" s="49"/>
      <c r="GU215" s="49"/>
      <c r="GV215" s="49"/>
      <c r="GW215" s="49"/>
      <c r="GX215" s="49"/>
      <c r="GY215" s="49"/>
      <c r="GZ215" s="49"/>
      <c r="HA215" s="49"/>
      <c r="HB215" s="49"/>
      <c r="HC215" s="49"/>
      <c r="HD215" s="49"/>
      <c r="HE215" s="49"/>
      <c r="HF215" s="49"/>
      <c r="HG215" s="49"/>
      <c r="HH215" s="49"/>
      <c r="HI215" s="49"/>
      <c r="HJ215" s="49"/>
      <c r="HK215" s="49"/>
      <c r="HL215" s="49"/>
      <c r="HM215" s="49"/>
      <c r="HN215" s="49"/>
      <c r="HO215" s="49"/>
      <c r="HP215" s="49"/>
      <c r="HQ215" s="49"/>
      <c r="HR215" s="49"/>
      <c r="HS215" s="49"/>
    </row>
    <row r="216" spans="1:227" s="15" customFormat="1" ht="12">
      <c r="A216" s="96"/>
      <c r="C216" s="15" t="s">
        <v>10</v>
      </c>
      <c r="G216" s="230"/>
      <c r="H216" s="136"/>
      <c r="I216" s="477"/>
      <c r="J216" s="476"/>
      <c r="K216" s="477"/>
      <c r="L216" s="475"/>
      <c r="M216" s="111"/>
      <c r="N216" s="111"/>
      <c r="O216" s="111"/>
      <c r="P216" s="111"/>
      <c r="Q216" s="111"/>
      <c r="R216" s="111"/>
      <c r="S216" s="111"/>
      <c r="T216" s="111"/>
      <c r="U216" s="111"/>
      <c r="V216" s="111"/>
      <c r="W216" s="111"/>
      <c r="X216" s="111"/>
      <c r="Y216" s="111"/>
      <c r="Z216" s="111"/>
      <c r="AA216" s="111"/>
      <c r="AB216" s="111"/>
      <c r="AC216" s="111"/>
      <c r="AD216" s="111"/>
      <c r="AE216" s="111"/>
      <c r="AF216" s="111"/>
      <c r="AG216" s="111"/>
      <c r="AH216" s="111"/>
      <c r="AI216" s="111"/>
      <c r="AJ216" s="111"/>
      <c r="AK216" s="111"/>
      <c r="AL216" s="111"/>
      <c r="AM216" s="111"/>
      <c r="AN216" s="111"/>
      <c r="AO216" s="111"/>
      <c r="AP216" s="111"/>
      <c r="AQ216" s="111"/>
      <c r="AR216" s="111"/>
      <c r="AS216" s="111"/>
      <c r="AT216" s="111"/>
      <c r="AU216" s="111"/>
      <c r="AV216" s="111"/>
      <c r="AW216" s="111"/>
      <c r="AX216" s="111"/>
      <c r="AY216" s="111"/>
      <c r="AZ216" s="111"/>
      <c r="BA216" s="111"/>
      <c r="BB216" s="111"/>
      <c r="BC216" s="111"/>
      <c r="BD216" s="111"/>
      <c r="BE216" s="111"/>
      <c r="BF216" s="111"/>
      <c r="BG216" s="111"/>
      <c r="BH216" s="111"/>
      <c r="BI216" s="111"/>
      <c r="BJ216" s="111"/>
      <c r="BK216" s="111"/>
      <c r="BL216" s="111"/>
      <c r="BM216" s="111"/>
      <c r="BN216" s="111"/>
      <c r="BO216" s="111"/>
      <c r="BP216" s="111"/>
      <c r="BQ216" s="111"/>
      <c r="BR216" s="111"/>
      <c r="BS216" s="111"/>
      <c r="BT216" s="111"/>
      <c r="BU216" s="111"/>
      <c r="BV216" s="111"/>
      <c r="BW216" s="111"/>
      <c r="BX216" s="111"/>
      <c r="BY216" s="111"/>
      <c r="BZ216" s="111"/>
      <c r="CA216" s="111"/>
      <c r="CB216" s="111"/>
      <c r="CC216" s="49"/>
      <c r="CD216" s="49"/>
      <c r="CE216" s="49"/>
      <c r="CF216" s="49"/>
      <c r="CG216" s="49"/>
      <c r="CH216" s="49"/>
      <c r="CI216" s="49"/>
      <c r="CJ216" s="49"/>
      <c r="CK216" s="49"/>
      <c r="CL216" s="49"/>
      <c r="CM216" s="49"/>
      <c r="CN216" s="49"/>
      <c r="CO216" s="49"/>
      <c r="CP216" s="49"/>
      <c r="CQ216" s="49"/>
      <c r="CR216" s="49"/>
      <c r="CS216" s="49"/>
      <c r="CT216" s="49"/>
      <c r="CU216" s="49"/>
      <c r="CV216" s="49"/>
      <c r="CW216" s="49"/>
      <c r="CX216" s="49"/>
      <c r="CY216" s="49"/>
      <c r="CZ216" s="49"/>
      <c r="DA216" s="49"/>
      <c r="DB216" s="49"/>
      <c r="DC216" s="49"/>
      <c r="DD216" s="49"/>
      <c r="DE216" s="49"/>
      <c r="DF216" s="49"/>
      <c r="DG216" s="49"/>
      <c r="DH216" s="49"/>
      <c r="DI216" s="49"/>
      <c r="DJ216" s="49"/>
      <c r="DK216" s="49"/>
      <c r="DL216" s="49"/>
      <c r="DM216" s="49"/>
      <c r="DN216" s="49"/>
      <c r="DO216" s="49"/>
      <c r="DP216" s="49"/>
      <c r="DQ216" s="49"/>
      <c r="DR216" s="49"/>
      <c r="DS216" s="49"/>
      <c r="DT216" s="49"/>
      <c r="DU216" s="49"/>
      <c r="DV216" s="49"/>
      <c r="DW216" s="49"/>
      <c r="DX216" s="49"/>
      <c r="DY216" s="49"/>
      <c r="DZ216" s="49"/>
      <c r="EA216" s="49"/>
      <c r="EB216" s="49"/>
      <c r="EC216" s="49"/>
      <c r="ED216" s="49"/>
      <c r="EE216" s="49"/>
      <c r="EF216" s="49"/>
      <c r="EG216" s="49"/>
      <c r="EH216" s="49"/>
      <c r="EI216" s="49"/>
      <c r="EJ216" s="49"/>
      <c r="EK216" s="49"/>
      <c r="EL216" s="49"/>
      <c r="EM216" s="49"/>
      <c r="EN216" s="49"/>
      <c r="EO216" s="49"/>
      <c r="EP216" s="49"/>
      <c r="EQ216" s="49"/>
      <c r="ER216" s="49"/>
      <c r="ES216" s="49"/>
      <c r="ET216" s="49"/>
      <c r="EU216" s="49"/>
      <c r="EV216" s="49"/>
      <c r="EW216" s="49"/>
      <c r="EX216" s="49"/>
      <c r="EY216" s="49"/>
      <c r="EZ216" s="49"/>
      <c r="FA216" s="49"/>
      <c r="FB216" s="49"/>
      <c r="FC216" s="49"/>
      <c r="FD216" s="49"/>
      <c r="FE216" s="49"/>
      <c r="FF216" s="49"/>
      <c r="FG216" s="49"/>
      <c r="FH216" s="49"/>
      <c r="FI216" s="49"/>
      <c r="FJ216" s="49"/>
      <c r="FK216" s="49"/>
      <c r="FL216" s="49"/>
      <c r="FM216" s="49"/>
      <c r="FN216" s="49"/>
      <c r="FO216" s="49"/>
      <c r="FP216" s="49"/>
      <c r="FQ216" s="49"/>
      <c r="FR216" s="49"/>
      <c r="FS216" s="49"/>
      <c r="FT216" s="49"/>
      <c r="FU216" s="49"/>
      <c r="FV216" s="49"/>
      <c r="FW216" s="49"/>
      <c r="FX216" s="49"/>
      <c r="FY216" s="49"/>
      <c r="FZ216" s="49"/>
      <c r="GA216" s="49"/>
      <c r="GB216" s="49"/>
      <c r="GC216" s="49"/>
      <c r="GD216" s="49"/>
      <c r="GE216" s="49"/>
      <c r="GF216" s="49"/>
      <c r="GG216" s="49"/>
      <c r="GH216" s="49"/>
      <c r="GI216" s="49"/>
      <c r="GJ216" s="49"/>
      <c r="GK216" s="49"/>
      <c r="GL216" s="49"/>
      <c r="GM216" s="49"/>
      <c r="GN216" s="49"/>
      <c r="GO216" s="49"/>
      <c r="GP216" s="49"/>
      <c r="GQ216" s="49"/>
      <c r="GR216" s="49"/>
      <c r="GS216" s="49"/>
      <c r="GT216" s="49"/>
      <c r="GU216" s="49"/>
      <c r="GV216" s="49"/>
      <c r="GW216" s="49"/>
      <c r="GX216" s="49"/>
      <c r="GY216" s="49"/>
      <c r="GZ216" s="49"/>
      <c r="HA216" s="49"/>
      <c r="HB216" s="49"/>
      <c r="HC216" s="49"/>
      <c r="HD216" s="49"/>
      <c r="HE216" s="49"/>
      <c r="HF216" s="49"/>
      <c r="HG216" s="49"/>
      <c r="HH216" s="49"/>
      <c r="HI216" s="49"/>
      <c r="HJ216" s="49"/>
      <c r="HK216" s="49"/>
      <c r="HL216" s="49"/>
      <c r="HM216" s="49"/>
      <c r="HN216" s="49"/>
      <c r="HO216" s="49"/>
      <c r="HP216" s="49"/>
      <c r="HQ216" s="49"/>
      <c r="HR216" s="49"/>
      <c r="HS216" s="49"/>
    </row>
    <row r="217" spans="1:227" s="15" customFormat="1" ht="12">
      <c r="A217" s="96" t="s">
        <v>308</v>
      </c>
      <c r="D217" s="15" t="s">
        <v>17</v>
      </c>
      <c r="G217" s="230"/>
      <c r="H217" s="136"/>
      <c r="I217" s="477"/>
      <c r="J217" s="476"/>
      <c r="K217" s="477"/>
      <c r="L217" s="475"/>
      <c r="M217" s="111"/>
      <c r="N217" s="111"/>
      <c r="O217" s="111"/>
      <c r="P217" s="111"/>
      <c r="Q217" s="111"/>
      <c r="R217" s="111"/>
      <c r="S217" s="111"/>
      <c r="T217" s="111"/>
      <c r="U217" s="111"/>
      <c r="V217" s="111"/>
      <c r="W217" s="111"/>
      <c r="X217" s="111"/>
      <c r="Y217" s="111"/>
      <c r="Z217" s="111"/>
      <c r="AA217" s="111"/>
      <c r="AB217" s="111"/>
      <c r="AC217" s="111"/>
      <c r="AD217" s="111"/>
      <c r="AE217" s="111"/>
      <c r="AF217" s="111"/>
      <c r="AG217" s="111"/>
      <c r="AH217" s="111"/>
      <c r="AI217" s="111"/>
      <c r="AJ217" s="111"/>
      <c r="AK217" s="111"/>
      <c r="AL217" s="111"/>
      <c r="AM217" s="111"/>
      <c r="AN217" s="111"/>
      <c r="AO217" s="111"/>
      <c r="AP217" s="111"/>
      <c r="AQ217" s="111"/>
      <c r="AR217" s="111"/>
      <c r="AS217" s="111"/>
      <c r="AT217" s="111"/>
      <c r="AU217" s="111"/>
      <c r="AV217" s="111"/>
      <c r="AW217" s="111"/>
      <c r="AX217" s="111"/>
      <c r="AY217" s="111"/>
      <c r="AZ217" s="111"/>
      <c r="BA217" s="111"/>
      <c r="BB217" s="111"/>
      <c r="BC217" s="111"/>
      <c r="BD217" s="111"/>
      <c r="BE217" s="111"/>
      <c r="BF217" s="111"/>
      <c r="BG217" s="111"/>
      <c r="BH217" s="111"/>
      <c r="BI217" s="111"/>
      <c r="BJ217" s="111"/>
      <c r="BK217" s="111"/>
      <c r="BL217" s="111"/>
      <c r="BM217" s="111"/>
      <c r="BN217" s="111"/>
      <c r="BO217" s="111"/>
      <c r="BP217" s="111"/>
      <c r="BQ217" s="111"/>
      <c r="BR217" s="111"/>
      <c r="BS217" s="111"/>
      <c r="BT217" s="111"/>
      <c r="BU217" s="111"/>
      <c r="BV217" s="111"/>
      <c r="BW217" s="111"/>
      <c r="BX217" s="111"/>
      <c r="BY217" s="111"/>
      <c r="BZ217" s="111"/>
      <c r="CA217" s="111"/>
      <c r="CB217" s="111"/>
      <c r="CC217" s="49"/>
      <c r="CD217" s="49"/>
      <c r="CE217" s="49"/>
      <c r="CF217" s="49"/>
      <c r="CG217" s="49"/>
      <c r="CH217" s="49"/>
      <c r="CI217" s="49"/>
      <c r="CJ217" s="49"/>
      <c r="CK217" s="49"/>
      <c r="CL217" s="49"/>
      <c r="CM217" s="49"/>
      <c r="CN217" s="49"/>
      <c r="CO217" s="49"/>
      <c r="CP217" s="49"/>
      <c r="CQ217" s="49"/>
      <c r="CR217" s="49"/>
      <c r="CS217" s="49"/>
      <c r="CT217" s="49"/>
      <c r="CU217" s="49"/>
      <c r="CV217" s="49"/>
      <c r="CW217" s="49"/>
      <c r="CX217" s="49"/>
      <c r="CY217" s="49"/>
      <c r="CZ217" s="49"/>
      <c r="DA217" s="49"/>
      <c r="DB217" s="49"/>
      <c r="DC217" s="49"/>
      <c r="DD217" s="49"/>
      <c r="DE217" s="49"/>
      <c r="DF217" s="49"/>
      <c r="DG217" s="49"/>
      <c r="DH217" s="49"/>
      <c r="DI217" s="49"/>
      <c r="DJ217" s="49"/>
      <c r="DK217" s="49"/>
      <c r="DL217" s="49"/>
      <c r="DM217" s="49"/>
      <c r="DN217" s="49"/>
      <c r="DO217" s="49"/>
      <c r="DP217" s="49"/>
      <c r="DQ217" s="49"/>
      <c r="DR217" s="49"/>
      <c r="DS217" s="49"/>
      <c r="DT217" s="49"/>
      <c r="DU217" s="49"/>
      <c r="DV217" s="49"/>
      <c r="DW217" s="49"/>
      <c r="DX217" s="49"/>
      <c r="DY217" s="49"/>
      <c r="DZ217" s="49"/>
      <c r="EA217" s="49"/>
      <c r="EB217" s="49"/>
      <c r="EC217" s="49"/>
      <c r="ED217" s="49"/>
      <c r="EE217" s="49"/>
      <c r="EF217" s="49"/>
      <c r="EG217" s="49"/>
      <c r="EH217" s="49"/>
      <c r="EI217" s="49"/>
      <c r="EJ217" s="49"/>
      <c r="EK217" s="49"/>
      <c r="EL217" s="49"/>
      <c r="EM217" s="49"/>
      <c r="EN217" s="49"/>
      <c r="EO217" s="49"/>
      <c r="EP217" s="49"/>
      <c r="EQ217" s="49"/>
      <c r="ER217" s="49"/>
      <c r="ES217" s="49"/>
      <c r="ET217" s="49"/>
      <c r="EU217" s="49"/>
      <c r="EV217" s="49"/>
      <c r="EW217" s="49"/>
      <c r="EX217" s="49"/>
      <c r="EY217" s="49"/>
      <c r="EZ217" s="49"/>
      <c r="FA217" s="49"/>
      <c r="FB217" s="49"/>
      <c r="FC217" s="49"/>
      <c r="FD217" s="49"/>
      <c r="FE217" s="49"/>
      <c r="FF217" s="49"/>
      <c r="FG217" s="49"/>
      <c r="FH217" s="49"/>
      <c r="FI217" s="49"/>
      <c r="FJ217" s="49"/>
      <c r="FK217" s="49"/>
      <c r="FL217" s="49"/>
      <c r="FM217" s="49"/>
      <c r="FN217" s="49"/>
      <c r="FO217" s="49"/>
      <c r="FP217" s="49"/>
      <c r="FQ217" s="49"/>
      <c r="FR217" s="49"/>
      <c r="FS217" s="49"/>
      <c r="FT217" s="49"/>
      <c r="FU217" s="49"/>
      <c r="FV217" s="49"/>
      <c r="FW217" s="49"/>
      <c r="FX217" s="49"/>
      <c r="FY217" s="49"/>
      <c r="FZ217" s="49"/>
      <c r="GA217" s="49"/>
      <c r="GB217" s="49"/>
      <c r="GC217" s="49"/>
      <c r="GD217" s="49"/>
      <c r="GE217" s="49"/>
      <c r="GF217" s="49"/>
      <c r="GG217" s="49"/>
      <c r="GH217" s="49"/>
      <c r="GI217" s="49"/>
      <c r="GJ217" s="49"/>
      <c r="GK217" s="49"/>
      <c r="GL217" s="49"/>
      <c r="GM217" s="49"/>
      <c r="GN217" s="49"/>
      <c r="GO217" s="49"/>
      <c r="GP217" s="49"/>
      <c r="GQ217" s="49"/>
      <c r="GR217" s="49"/>
      <c r="GS217" s="49"/>
      <c r="GT217" s="49"/>
      <c r="GU217" s="49"/>
      <c r="GV217" s="49"/>
      <c r="GW217" s="49"/>
      <c r="GX217" s="49"/>
      <c r="GY217" s="49"/>
      <c r="GZ217" s="49"/>
      <c r="HA217" s="49"/>
      <c r="HB217" s="49"/>
      <c r="HC217" s="49"/>
      <c r="HD217" s="49"/>
      <c r="HE217" s="49"/>
      <c r="HF217" s="49"/>
      <c r="HG217" s="49"/>
      <c r="HH217" s="49"/>
      <c r="HI217" s="49"/>
      <c r="HJ217" s="49"/>
      <c r="HK217" s="49"/>
      <c r="HL217" s="49"/>
      <c r="HM217" s="49"/>
      <c r="HN217" s="49"/>
      <c r="HO217" s="49"/>
      <c r="HP217" s="49"/>
      <c r="HQ217" s="49"/>
      <c r="HR217" s="49"/>
      <c r="HS217" s="49"/>
    </row>
    <row r="218" spans="1:227" s="15" customFormat="1" ht="36">
      <c r="A218" s="96" t="s">
        <v>309</v>
      </c>
      <c r="D218" s="15" t="s">
        <v>18</v>
      </c>
      <c r="G218" s="230"/>
      <c r="H218" s="136" t="s">
        <v>465</v>
      </c>
      <c r="I218" s="477"/>
      <c r="J218" s="473" t="s">
        <v>503</v>
      </c>
      <c r="K218" s="477"/>
      <c r="L218" s="475"/>
      <c r="M218" s="111"/>
      <c r="N218" s="111"/>
      <c r="O218" s="111"/>
      <c r="P218" s="111"/>
      <c r="Q218" s="111"/>
      <c r="R218" s="111"/>
      <c r="S218" s="111"/>
      <c r="T218" s="111"/>
      <c r="U218" s="111"/>
      <c r="V218" s="111"/>
      <c r="W218" s="111"/>
      <c r="X218" s="111"/>
      <c r="Y218" s="111"/>
      <c r="Z218" s="111"/>
      <c r="AA218" s="111"/>
      <c r="AB218" s="111"/>
      <c r="AC218" s="111"/>
      <c r="AD218" s="111"/>
      <c r="AE218" s="111"/>
      <c r="AF218" s="111"/>
      <c r="AG218" s="111"/>
      <c r="AH218" s="111"/>
      <c r="AI218" s="111"/>
      <c r="AJ218" s="111"/>
      <c r="AK218" s="111"/>
      <c r="AL218" s="111"/>
      <c r="AM218" s="111"/>
      <c r="AN218" s="111"/>
      <c r="AO218" s="111"/>
      <c r="AP218" s="111"/>
      <c r="AQ218" s="111"/>
      <c r="AR218" s="111"/>
      <c r="AS218" s="111"/>
      <c r="AT218" s="111"/>
      <c r="AU218" s="111"/>
      <c r="AV218" s="111"/>
      <c r="AW218" s="111"/>
      <c r="AX218" s="111"/>
      <c r="AY218" s="111"/>
      <c r="AZ218" s="111"/>
      <c r="BA218" s="111"/>
      <c r="BB218" s="111"/>
      <c r="BC218" s="111"/>
      <c r="BD218" s="111"/>
      <c r="BE218" s="111"/>
      <c r="BF218" s="111"/>
      <c r="BG218" s="111"/>
      <c r="BH218" s="111"/>
      <c r="BI218" s="111"/>
      <c r="BJ218" s="111"/>
      <c r="BK218" s="111"/>
      <c r="BL218" s="111"/>
      <c r="BM218" s="111"/>
      <c r="BN218" s="111"/>
      <c r="BO218" s="111"/>
      <c r="BP218" s="111"/>
      <c r="BQ218" s="111"/>
      <c r="BR218" s="111"/>
      <c r="BS218" s="111"/>
      <c r="BT218" s="111"/>
      <c r="BU218" s="111"/>
      <c r="BV218" s="111"/>
      <c r="BW218" s="111"/>
      <c r="BX218" s="111"/>
      <c r="BY218" s="111"/>
      <c r="BZ218" s="111"/>
      <c r="CA218" s="111"/>
      <c r="CB218" s="111"/>
      <c r="CC218" s="49"/>
      <c r="CD218" s="49"/>
      <c r="CE218" s="49"/>
      <c r="CF218" s="49"/>
      <c r="CG218" s="49"/>
      <c r="CH218" s="49"/>
      <c r="CI218" s="49"/>
      <c r="CJ218" s="49"/>
      <c r="CK218" s="49"/>
      <c r="CL218" s="49"/>
      <c r="CM218" s="49"/>
      <c r="CN218" s="49"/>
      <c r="CO218" s="49"/>
      <c r="CP218" s="49"/>
      <c r="CQ218" s="49"/>
      <c r="CR218" s="49"/>
      <c r="CS218" s="49"/>
      <c r="CT218" s="49"/>
      <c r="CU218" s="49"/>
      <c r="CV218" s="49"/>
      <c r="CW218" s="49"/>
      <c r="CX218" s="49"/>
      <c r="CY218" s="49"/>
      <c r="CZ218" s="49"/>
      <c r="DA218" s="49"/>
      <c r="DB218" s="49"/>
      <c r="DC218" s="49"/>
      <c r="DD218" s="49"/>
      <c r="DE218" s="49"/>
      <c r="DF218" s="49"/>
      <c r="DG218" s="49"/>
      <c r="DH218" s="49"/>
      <c r="DI218" s="49"/>
      <c r="DJ218" s="49"/>
      <c r="DK218" s="49"/>
      <c r="DL218" s="49"/>
      <c r="DM218" s="49"/>
      <c r="DN218" s="49"/>
      <c r="DO218" s="49"/>
      <c r="DP218" s="49"/>
      <c r="DQ218" s="49"/>
      <c r="DR218" s="49"/>
      <c r="DS218" s="49"/>
      <c r="DT218" s="49"/>
      <c r="DU218" s="49"/>
      <c r="DV218" s="49"/>
      <c r="DW218" s="49"/>
      <c r="DX218" s="49"/>
      <c r="DY218" s="49"/>
      <c r="DZ218" s="49"/>
      <c r="EA218" s="49"/>
      <c r="EB218" s="49"/>
      <c r="EC218" s="49"/>
      <c r="ED218" s="49"/>
      <c r="EE218" s="49"/>
      <c r="EF218" s="49"/>
      <c r="EG218" s="49"/>
      <c r="EH218" s="49"/>
      <c r="EI218" s="49"/>
      <c r="EJ218" s="49"/>
      <c r="EK218" s="49"/>
      <c r="EL218" s="49"/>
      <c r="EM218" s="49"/>
      <c r="EN218" s="49"/>
      <c r="EO218" s="49"/>
      <c r="EP218" s="49"/>
      <c r="EQ218" s="49"/>
      <c r="ER218" s="49"/>
      <c r="ES218" s="49"/>
      <c r="ET218" s="49"/>
      <c r="EU218" s="49"/>
      <c r="EV218" s="49"/>
      <c r="EW218" s="49"/>
      <c r="EX218" s="49"/>
      <c r="EY218" s="49"/>
      <c r="EZ218" s="49"/>
      <c r="FA218" s="49"/>
      <c r="FB218" s="49"/>
      <c r="FC218" s="49"/>
      <c r="FD218" s="49"/>
      <c r="FE218" s="49"/>
      <c r="FF218" s="49"/>
      <c r="FG218" s="49"/>
      <c r="FH218" s="49"/>
      <c r="FI218" s="49"/>
      <c r="FJ218" s="49"/>
      <c r="FK218" s="49"/>
      <c r="FL218" s="49"/>
      <c r="FM218" s="49"/>
      <c r="FN218" s="49"/>
      <c r="FO218" s="49"/>
      <c r="FP218" s="49"/>
      <c r="FQ218" s="49"/>
      <c r="FR218" s="49"/>
      <c r="FS218" s="49"/>
      <c r="FT218" s="49"/>
      <c r="FU218" s="49"/>
      <c r="FV218" s="49"/>
      <c r="FW218" s="49"/>
      <c r="FX218" s="49"/>
      <c r="FY218" s="49"/>
      <c r="FZ218" s="49"/>
      <c r="GA218" s="49"/>
      <c r="GB218" s="49"/>
      <c r="GC218" s="49"/>
      <c r="GD218" s="49"/>
      <c r="GE218" s="49"/>
      <c r="GF218" s="49"/>
      <c r="GG218" s="49"/>
      <c r="GH218" s="49"/>
      <c r="GI218" s="49"/>
      <c r="GJ218" s="49"/>
      <c r="GK218" s="49"/>
      <c r="GL218" s="49"/>
      <c r="GM218" s="49"/>
      <c r="GN218" s="49"/>
      <c r="GO218" s="49"/>
      <c r="GP218" s="49"/>
      <c r="GQ218" s="49"/>
      <c r="GR218" s="49"/>
      <c r="GS218" s="49"/>
      <c r="GT218" s="49"/>
      <c r="GU218" s="49"/>
      <c r="GV218" s="49"/>
      <c r="GW218" s="49"/>
      <c r="GX218" s="49"/>
      <c r="GY218" s="49"/>
      <c r="GZ218" s="49"/>
      <c r="HA218" s="49"/>
      <c r="HB218" s="49"/>
      <c r="HC218" s="49"/>
      <c r="HD218" s="49"/>
      <c r="HE218" s="49"/>
      <c r="HF218" s="49"/>
      <c r="HG218" s="49"/>
      <c r="HH218" s="49"/>
      <c r="HI218" s="49"/>
      <c r="HJ218" s="49"/>
      <c r="HK218" s="49"/>
      <c r="HL218" s="49"/>
      <c r="HM218" s="49"/>
      <c r="HN218" s="49"/>
      <c r="HO218" s="49"/>
      <c r="HP218" s="49"/>
      <c r="HQ218" s="49"/>
      <c r="HR218" s="49"/>
      <c r="HS218" s="49"/>
    </row>
    <row r="219" spans="1:227" s="15" customFormat="1" ht="12">
      <c r="A219" s="96"/>
      <c r="C219" s="15" t="s">
        <v>15</v>
      </c>
      <c r="G219" s="230"/>
      <c r="H219" s="136"/>
      <c r="I219" s="477"/>
      <c r="J219" s="477"/>
      <c r="K219" s="477"/>
      <c r="L219" s="475"/>
      <c r="M219" s="111"/>
      <c r="N219" s="111"/>
      <c r="O219" s="111"/>
      <c r="P219" s="111"/>
      <c r="Q219" s="111"/>
      <c r="R219" s="111"/>
      <c r="S219" s="111"/>
      <c r="T219" s="111"/>
      <c r="U219" s="111"/>
      <c r="V219" s="111"/>
      <c r="W219" s="111"/>
      <c r="X219" s="111"/>
      <c r="Y219" s="111"/>
      <c r="Z219" s="111"/>
      <c r="AA219" s="111"/>
      <c r="AB219" s="111"/>
      <c r="AC219" s="111"/>
      <c r="AD219" s="111"/>
      <c r="AE219" s="111"/>
      <c r="AF219" s="111"/>
      <c r="AG219" s="111"/>
      <c r="AH219" s="111"/>
      <c r="AI219" s="111"/>
      <c r="AJ219" s="111"/>
      <c r="AK219" s="111"/>
      <c r="AL219" s="111"/>
      <c r="AM219" s="111"/>
      <c r="AN219" s="111"/>
      <c r="AO219" s="111"/>
      <c r="AP219" s="111"/>
      <c r="AQ219" s="111"/>
      <c r="AR219" s="111"/>
      <c r="AS219" s="111"/>
      <c r="AT219" s="111"/>
      <c r="AU219" s="111"/>
      <c r="AV219" s="111"/>
      <c r="AW219" s="111"/>
      <c r="AX219" s="111"/>
      <c r="AY219" s="111"/>
      <c r="AZ219" s="111"/>
      <c r="BA219" s="111"/>
      <c r="BB219" s="111"/>
      <c r="BC219" s="111"/>
      <c r="BD219" s="111"/>
      <c r="BE219" s="111"/>
      <c r="BF219" s="111"/>
      <c r="BG219" s="111"/>
      <c r="BH219" s="111"/>
      <c r="BI219" s="111"/>
      <c r="BJ219" s="111"/>
      <c r="BK219" s="111"/>
      <c r="BL219" s="111"/>
      <c r="BM219" s="111"/>
      <c r="BN219" s="111"/>
      <c r="BO219" s="111"/>
      <c r="BP219" s="111"/>
      <c r="BQ219" s="111"/>
      <c r="BR219" s="111"/>
      <c r="BS219" s="111"/>
      <c r="BT219" s="111"/>
      <c r="BU219" s="111"/>
      <c r="BV219" s="111"/>
      <c r="BW219" s="111"/>
      <c r="BX219" s="111"/>
      <c r="BY219" s="111"/>
      <c r="BZ219" s="111"/>
      <c r="CA219" s="111"/>
      <c r="CB219" s="111"/>
      <c r="CC219" s="49"/>
      <c r="CD219" s="49"/>
      <c r="CE219" s="49"/>
      <c r="CF219" s="49"/>
      <c r="CG219" s="49"/>
      <c r="CH219" s="49"/>
      <c r="CI219" s="49"/>
      <c r="CJ219" s="49"/>
      <c r="CK219" s="49"/>
      <c r="CL219" s="49"/>
      <c r="CM219" s="49"/>
      <c r="CN219" s="49"/>
      <c r="CO219" s="49"/>
      <c r="CP219" s="49"/>
      <c r="CQ219" s="49"/>
      <c r="CR219" s="49"/>
      <c r="CS219" s="49"/>
      <c r="CT219" s="49"/>
      <c r="CU219" s="49"/>
      <c r="CV219" s="49"/>
      <c r="CW219" s="49"/>
      <c r="CX219" s="49"/>
      <c r="CY219" s="49"/>
      <c r="CZ219" s="49"/>
      <c r="DA219" s="49"/>
      <c r="DB219" s="49"/>
      <c r="DC219" s="49"/>
      <c r="DD219" s="49"/>
      <c r="DE219" s="49"/>
      <c r="DF219" s="49"/>
      <c r="DG219" s="49"/>
      <c r="DH219" s="49"/>
      <c r="DI219" s="49"/>
      <c r="DJ219" s="49"/>
      <c r="DK219" s="49"/>
      <c r="DL219" s="49"/>
      <c r="DM219" s="49"/>
      <c r="DN219" s="49"/>
      <c r="DO219" s="49"/>
      <c r="DP219" s="49"/>
      <c r="DQ219" s="49"/>
      <c r="DR219" s="49"/>
      <c r="DS219" s="49"/>
      <c r="DT219" s="49"/>
      <c r="DU219" s="49"/>
      <c r="DV219" s="49"/>
      <c r="DW219" s="49"/>
      <c r="DX219" s="49"/>
      <c r="DY219" s="49"/>
      <c r="DZ219" s="49"/>
      <c r="EA219" s="49"/>
      <c r="EB219" s="49"/>
      <c r="EC219" s="49"/>
      <c r="ED219" s="49"/>
      <c r="EE219" s="49"/>
      <c r="EF219" s="49"/>
      <c r="EG219" s="49"/>
      <c r="EH219" s="49"/>
      <c r="EI219" s="49"/>
      <c r="EJ219" s="49"/>
      <c r="EK219" s="49"/>
      <c r="EL219" s="49"/>
      <c r="EM219" s="49"/>
      <c r="EN219" s="49"/>
      <c r="EO219" s="49"/>
      <c r="EP219" s="49"/>
      <c r="EQ219" s="49"/>
      <c r="ER219" s="49"/>
      <c r="ES219" s="49"/>
      <c r="ET219" s="49"/>
      <c r="EU219" s="49"/>
      <c r="EV219" s="49"/>
      <c r="EW219" s="49"/>
      <c r="EX219" s="49"/>
      <c r="EY219" s="49"/>
      <c r="EZ219" s="49"/>
      <c r="FA219" s="49"/>
      <c r="FB219" s="49"/>
      <c r="FC219" s="49"/>
      <c r="FD219" s="49"/>
      <c r="FE219" s="49"/>
      <c r="FF219" s="49"/>
      <c r="FG219" s="49"/>
      <c r="FH219" s="49"/>
      <c r="FI219" s="49"/>
      <c r="FJ219" s="49"/>
      <c r="FK219" s="49"/>
      <c r="FL219" s="49"/>
      <c r="FM219" s="49"/>
      <c r="FN219" s="49"/>
      <c r="FO219" s="49"/>
      <c r="FP219" s="49"/>
      <c r="FQ219" s="49"/>
      <c r="FR219" s="49"/>
      <c r="FS219" s="49"/>
      <c r="FT219" s="49"/>
      <c r="FU219" s="49"/>
      <c r="FV219" s="49"/>
      <c r="FW219" s="49"/>
      <c r="FX219" s="49"/>
      <c r="FY219" s="49"/>
      <c r="FZ219" s="49"/>
      <c r="GA219" s="49"/>
      <c r="GB219" s="49"/>
      <c r="GC219" s="49"/>
      <c r="GD219" s="49"/>
      <c r="GE219" s="49"/>
      <c r="GF219" s="49"/>
      <c r="GG219" s="49"/>
      <c r="GH219" s="49"/>
      <c r="GI219" s="49"/>
      <c r="GJ219" s="49"/>
      <c r="GK219" s="49"/>
      <c r="GL219" s="49"/>
      <c r="GM219" s="49"/>
      <c r="GN219" s="49"/>
      <c r="GO219" s="49"/>
      <c r="GP219" s="49"/>
      <c r="GQ219" s="49"/>
      <c r="GR219" s="49"/>
      <c r="GS219" s="49"/>
      <c r="GT219" s="49"/>
      <c r="GU219" s="49"/>
      <c r="GV219" s="49"/>
      <c r="GW219" s="49"/>
      <c r="GX219" s="49"/>
      <c r="GY219" s="49"/>
      <c r="GZ219" s="49"/>
      <c r="HA219" s="49"/>
      <c r="HB219" s="49"/>
      <c r="HC219" s="49"/>
      <c r="HD219" s="49"/>
      <c r="HE219" s="49"/>
      <c r="HF219" s="49"/>
      <c r="HG219" s="49"/>
      <c r="HH219" s="49"/>
      <c r="HI219" s="49"/>
      <c r="HJ219" s="49"/>
      <c r="HK219" s="49"/>
      <c r="HL219" s="49"/>
      <c r="HM219" s="49"/>
      <c r="HN219" s="49"/>
      <c r="HO219" s="49"/>
      <c r="HP219" s="49"/>
      <c r="HQ219" s="49"/>
      <c r="HR219" s="49"/>
      <c r="HS219" s="49"/>
    </row>
    <row r="220" spans="1:227" s="15" customFormat="1" ht="12">
      <c r="A220" s="96" t="s">
        <v>310</v>
      </c>
      <c r="D220" s="15" t="s">
        <v>17</v>
      </c>
      <c r="G220" s="230"/>
      <c r="H220" s="127"/>
      <c r="I220" s="477"/>
      <c r="J220" s="477"/>
      <c r="K220" s="477"/>
      <c r="L220" s="475"/>
      <c r="M220" s="111"/>
      <c r="N220" s="111"/>
      <c r="O220" s="111"/>
      <c r="P220" s="111"/>
      <c r="Q220" s="111"/>
      <c r="R220" s="111"/>
      <c r="S220" s="111"/>
      <c r="T220" s="111"/>
      <c r="U220" s="111"/>
      <c r="V220" s="111"/>
      <c r="W220" s="111"/>
      <c r="X220" s="111"/>
      <c r="Y220" s="111"/>
      <c r="Z220" s="111"/>
      <c r="AA220" s="111"/>
      <c r="AB220" s="111"/>
      <c r="AC220" s="111"/>
      <c r="AD220" s="111"/>
      <c r="AE220" s="111"/>
      <c r="AF220" s="111"/>
      <c r="AG220" s="111"/>
      <c r="AH220" s="111"/>
      <c r="AI220" s="111"/>
      <c r="AJ220" s="111"/>
      <c r="AK220" s="111"/>
      <c r="AL220" s="111"/>
      <c r="AM220" s="111"/>
      <c r="AN220" s="111"/>
      <c r="AO220" s="111"/>
      <c r="AP220" s="111"/>
      <c r="AQ220" s="111"/>
      <c r="AR220" s="111"/>
      <c r="AS220" s="111"/>
      <c r="AT220" s="111"/>
      <c r="AU220" s="111"/>
      <c r="AV220" s="111"/>
      <c r="AW220" s="111"/>
      <c r="AX220" s="111"/>
      <c r="AY220" s="111"/>
      <c r="AZ220" s="111"/>
      <c r="BA220" s="111"/>
      <c r="BB220" s="111"/>
      <c r="BC220" s="111"/>
      <c r="BD220" s="111"/>
      <c r="BE220" s="111"/>
      <c r="BF220" s="111"/>
      <c r="BG220" s="111"/>
      <c r="BH220" s="111"/>
      <c r="BI220" s="111"/>
      <c r="BJ220" s="111"/>
      <c r="BK220" s="111"/>
      <c r="BL220" s="111"/>
      <c r="BM220" s="111"/>
      <c r="BN220" s="111"/>
      <c r="BO220" s="111"/>
      <c r="BP220" s="111"/>
      <c r="BQ220" s="111"/>
      <c r="BR220" s="111"/>
      <c r="BS220" s="111"/>
      <c r="BT220" s="111"/>
      <c r="BU220" s="111"/>
      <c r="BV220" s="111"/>
      <c r="BW220" s="111"/>
      <c r="BX220" s="111"/>
      <c r="BY220" s="111"/>
      <c r="BZ220" s="111"/>
      <c r="CA220" s="111"/>
      <c r="CB220" s="111"/>
      <c r="CC220" s="49"/>
      <c r="CD220" s="49"/>
      <c r="CE220" s="49"/>
      <c r="CF220" s="49"/>
      <c r="CG220" s="49"/>
      <c r="CH220" s="49"/>
      <c r="CI220" s="49"/>
      <c r="CJ220" s="49"/>
      <c r="CK220" s="49"/>
      <c r="CL220" s="49"/>
      <c r="CM220" s="49"/>
      <c r="CN220" s="49"/>
      <c r="CO220" s="49"/>
      <c r="CP220" s="49"/>
      <c r="CQ220" s="49"/>
      <c r="CR220" s="49"/>
      <c r="CS220" s="49"/>
      <c r="CT220" s="49"/>
      <c r="CU220" s="49"/>
      <c r="CV220" s="49"/>
      <c r="CW220" s="49"/>
      <c r="CX220" s="49"/>
      <c r="CY220" s="49"/>
      <c r="CZ220" s="49"/>
      <c r="DA220" s="49"/>
      <c r="DB220" s="49"/>
      <c r="DC220" s="49"/>
      <c r="DD220" s="49"/>
      <c r="DE220" s="49"/>
      <c r="DF220" s="49"/>
      <c r="DG220" s="49"/>
      <c r="DH220" s="49"/>
      <c r="DI220" s="49"/>
      <c r="DJ220" s="49"/>
      <c r="DK220" s="49"/>
      <c r="DL220" s="49"/>
      <c r="DM220" s="49"/>
      <c r="DN220" s="49"/>
      <c r="DO220" s="49"/>
      <c r="DP220" s="49"/>
      <c r="DQ220" s="49"/>
      <c r="DR220" s="49"/>
      <c r="DS220" s="49"/>
      <c r="DT220" s="49"/>
      <c r="DU220" s="49"/>
      <c r="DV220" s="49"/>
      <c r="DW220" s="49"/>
      <c r="DX220" s="49"/>
      <c r="DY220" s="49"/>
      <c r="DZ220" s="49"/>
      <c r="EA220" s="49"/>
      <c r="EB220" s="49"/>
      <c r="EC220" s="49"/>
      <c r="ED220" s="49"/>
      <c r="EE220" s="49"/>
      <c r="EF220" s="49"/>
      <c r="EG220" s="49"/>
      <c r="EH220" s="49"/>
      <c r="EI220" s="49"/>
      <c r="EJ220" s="49"/>
      <c r="EK220" s="49"/>
      <c r="EL220" s="49"/>
      <c r="EM220" s="49"/>
      <c r="EN220" s="49"/>
      <c r="EO220" s="49"/>
      <c r="EP220" s="49"/>
      <c r="EQ220" s="49"/>
      <c r="ER220" s="49"/>
      <c r="ES220" s="49"/>
      <c r="ET220" s="49"/>
      <c r="EU220" s="49"/>
      <c r="EV220" s="49"/>
      <c r="EW220" s="49"/>
      <c r="EX220" s="49"/>
      <c r="EY220" s="49"/>
      <c r="EZ220" s="49"/>
      <c r="FA220" s="49"/>
      <c r="FB220" s="49"/>
      <c r="FC220" s="49"/>
      <c r="FD220" s="49"/>
      <c r="FE220" s="49"/>
      <c r="FF220" s="49"/>
      <c r="FG220" s="49"/>
      <c r="FH220" s="49"/>
      <c r="FI220" s="49"/>
      <c r="FJ220" s="49"/>
      <c r="FK220" s="49"/>
      <c r="FL220" s="49"/>
      <c r="FM220" s="49"/>
      <c r="FN220" s="49"/>
      <c r="FO220" s="49"/>
      <c r="FP220" s="49"/>
      <c r="FQ220" s="49"/>
      <c r="FR220" s="49"/>
      <c r="FS220" s="49"/>
      <c r="FT220" s="49"/>
      <c r="FU220" s="49"/>
      <c r="FV220" s="49"/>
      <c r="FW220" s="49"/>
      <c r="FX220" s="49"/>
      <c r="FY220" s="49"/>
      <c r="FZ220" s="49"/>
      <c r="GA220" s="49"/>
      <c r="GB220" s="49"/>
      <c r="GC220" s="49"/>
      <c r="GD220" s="49"/>
      <c r="GE220" s="49"/>
      <c r="GF220" s="49"/>
      <c r="GG220" s="49"/>
      <c r="GH220" s="49"/>
      <c r="GI220" s="49"/>
      <c r="GJ220" s="49"/>
      <c r="GK220" s="49"/>
      <c r="GL220" s="49"/>
      <c r="GM220" s="49"/>
      <c r="GN220" s="49"/>
      <c r="GO220" s="49"/>
      <c r="GP220" s="49"/>
      <c r="GQ220" s="49"/>
      <c r="GR220" s="49"/>
      <c r="GS220" s="49"/>
      <c r="GT220" s="49"/>
      <c r="GU220" s="49"/>
      <c r="GV220" s="49"/>
      <c r="GW220" s="49"/>
      <c r="GX220" s="49"/>
      <c r="GY220" s="49"/>
      <c r="GZ220" s="49"/>
      <c r="HA220" s="49"/>
      <c r="HB220" s="49"/>
      <c r="HC220" s="49"/>
      <c r="HD220" s="49"/>
      <c r="HE220" s="49"/>
      <c r="HF220" s="49"/>
      <c r="HG220" s="49"/>
      <c r="HH220" s="49"/>
      <c r="HI220" s="49"/>
      <c r="HJ220" s="49"/>
      <c r="HK220" s="49"/>
      <c r="HL220" s="49"/>
      <c r="HM220" s="49"/>
      <c r="HN220" s="49"/>
      <c r="HO220" s="49"/>
      <c r="HP220" s="49"/>
      <c r="HQ220" s="49"/>
      <c r="HR220" s="49"/>
      <c r="HS220" s="49"/>
    </row>
    <row r="221" spans="1:227" s="15" customFormat="1" ht="12">
      <c r="A221" s="96" t="s">
        <v>311</v>
      </c>
      <c r="D221" s="15" t="s">
        <v>19</v>
      </c>
      <c r="G221" s="230"/>
      <c r="H221" s="136"/>
      <c r="I221" s="477"/>
      <c r="J221" s="477"/>
      <c r="K221" s="477"/>
      <c r="L221" s="475"/>
      <c r="M221" s="111"/>
      <c r="N221" s="111"/>
      <c r="O221" s="111"/>
      <c r="P221" s="111"/>
      <c r="Q221" s="111"/>
      <c r="R221" s="111"/>
      <c r="S221" s="111"/>
      <c r="T221" s="111"/>
      <c r="U221" s="111"/>
      <c r="V221" s="111"/>
      <c r="W221" s="111"/>
      <c r="X221" s="111"/>
      <c r="Y221" s="111"/>
      <c r="Z221" s="111"/>
      <c r="AA221" s="111"/>
      <c r="AB221" s="111"/>
      <c r="AC221" s="111"/>
      <c r="AD221" s="111"/>
      <c r="AE221" s="111"/>
      <c r="AF221" s="111"/>
      <c r="AG221" s="111"/>
      <c r="AH221" s="111"/>
      <c r="AI221" s="111"/>
      <c r="AJ221" s="111"/>
      <c r="AK221" s="111"/>
      <c r="AL221" s="111"/>
      <c r="AM221" s="111"/>
      <c r="AN221" s="111"/>
      <c r="AO221" s="111"/>
      <c r="AP221" s="111"/>
      <c r="AQ221" s="111"/>
      <c r="AR221" s="111"/>
      <c r="AS221" s="111"/>
      <c r="AT221" s="111"/>
      <c r="AU221" s="111"/>
      <c r="AV221" s="111"/>
      <c r="AW221" s="111"/>
      <c r="AX221" s="111"/>
      <c r="AY221" s="111"/>
      <c r="AZ221" s="111"/>
      <c r="BA221" s="111"/>
      <c r="BB221" s="111"/>
      <c r="BC221" s="111"/>
      <c r="BD221" s="111"/>
      <c r="BE221" s="111"/>
      <c r="BF221" s="111"/>
      <c r="BG221" s="111"/>
      <c r="BH221" s="111"/>
      <c r="BI221" s="111"/>
      <c r="BJ221" s="111"/>
      <c r="BK221" s="111"/>
      <c r="BL221" s="111"/>
      <c r="BM221" s="111"/>
      <c r="BN221" s="111"/>
      <c r="BO221" s="111"/>
      <c r="BP221" s="111"/>
      <c r="BQ221" s="111"/>
      <c r="BR221" s="111"/>
      <c r="BS221" s="111"/>
      <c r="BT221" s="111"/>
      <c r="BU221" s="111"/>
      <c r="BV221" s="111"/>
      <c r="BW221" s="111"/>
      <c r="BX221" s="111"/>
      <c r="BY221" s="111"/>
      <c r="BZ221" s="111"/>
      <c r="CA221" s="111"/>
      <c r="CB221" s="111"/>
      <c r="CC221" s="49"/>
      <c r="CD221" s="49"/>
      <c r="CE221" s="49"/>
      <c r="CF221" s="49"/>
      <c r="CG221" s="49"/>
      <c r="CH221" s="49"/>
      <c r="CI221" s="49"/>
      <c r="CJ221" s="49"/>
      <c r="CK221" s="49"/>
      <c r="CL221" s="49"/>
      <c r="CM221" s="49"/>
      <c r="CN221" s="49"/>
      <c r="CO221" s="49"/>
      <c r="CP221" s="49"/>
      <c r="CQ221" s="49"/>
      <c r="CR221" s="49"/>
      <c r="CS221" s="49"/>
      <c r="CT221" s="49"/>
      <c r="CU221" s="49"/>
      <c r="CV221" s="49"/>
      <c r="CW221" s="49"/>
      <c r="CX221" s="49"/>
      <c r="CY221" s="49"/>
      <c r="CZ221" s="49"/>
      <c r="DA221" s="49"/>
      <c r="DB221" s="49"/>
      <c r="DC221" s="49"/>
      <c r="DD221" s="49"/>
      <c r="DE221" s="49"/>
      <c r="DF221" s="49"/>
      <c r="DG221" s="49"/>
      <c r="DH221" s="49"/>
      <c r="DI221" s="49"/>
      <c r="DJ221" s="49"/>
      <c r="DK221" s="49"/>
      <c r="DL221" s="49"/>
      <c r="DM221" s="49"/>
      <c r="DN221" s="49"/>
      <c r="DO221" s="49"/>
      <c r="DP221" s="49"/>
      <c r="DQ221" s="49"/>
      <c r="DR221" s="49"/>
      <c r="DS221" s="49"/>
      <c r="DT221" s="49"/>
      <c r="DU221" s="49"/>
      <c r="DV221" s="49"/>
      <c r="DW221" s="49"/>
      <c r="DX221" s="49"/>
      <c r="DY221" s="49"/>
      <c r="DZ221" s="49"/>
      <c r="EA221" s="49"/>
      <c r="EB221" s="49"/>
      <c r="EC221" s="49"/>
      <c r="ED221" s="49"/>
      <c r="EE221" s="49"/>
      <c r="EF221" s="49"/>
      <c r="EG221" s="49"/>
      <c r="EH221" s="49"/>
      <c r="EI221" s="49"/>
      <c r="EJ221" s="49"/>
      <c r="EK221" s="49"/>
      <c r="EL221" s="49"/>
      <c r="EM221" s="49"/>
      <c r="EN221" s="49"/>
      <c r="EO221" s="49"/>
      <c r="EP221" s="49"/>
      <c r="EQ221" s="49"/>
      <c r="ER221" s="49"/>
      <c r="ES221" s="49"/>
      <c r="ET221" s="49"/>
      <c r="EU221" s="49"/>
      <c r="EV221" s="49"/>
      <c r="EW221" s="49"/>
      <c r="EX221" s="49"/>
      <c r="EY221" s="49"/>
      <c r="EZ221" s="49"/>
      <c r="FA221" s="49"/>
      <c r="FB221" s="49"/>
      <c r="FC221" s="49"/>
      <c r="FD221" s="49"/>
      <c r="FE221" s="49"/>
      <c r="FF221" s="49"/>
      <c r="FG221" s="49"/>
      <c r="FH221" s="49"/>
      <c r="FI221" s="49"/>
      <c r="FJ221" s="49"/>
      <c r="FK221" s="49"/>
      <c r="FL221" s="49"/>
      <c r="FM221" s="49"/>
      <c r="FN221" s="49"/>
      <c r="FO221" s="49"/>
      <c r="FP221" s="49"/>
      <c r="FQ221" s="49"/>
      <c r="FR221" s="49"/>
      <c r="FS221" s="49"/>
      <c r="FT221" s="49"/>
      <c r="FU221" s="49"/>
      <c r="FV221" s="49"/>
      <c r="FW221" s="49"/>
      <c r="FX221" s="49"/>
      <c r="FY221" s="49"/>
      <c r="FZ221" s="49"/>
      <c r="GA221" s="49"/>
      <c r="GB221" s="49"/>
      <c r="GC221" s="49"/>
      <c r="GD221" s="49"/>
      <c r="GE221" s="49"/>
      <c r="GF221" s="49"/>
      <c r="GG221" s="49"/>
      <c r="GH221" s="49"/>
      <c r="GI221" s="49"/>
      <c r="GJ221" s="49"/>
      <c r="GK221" s="49"/>
      <c r="GL221" s="49"/>
      <c r="GM221" s="49"/>
      <c r="GN221" s="49"/>
      <c r="GO221" s="49"/>
      <c r="GP221" s="49"/>
      <c r="GQ221" s="49"/>
      <c r="GR221" s="49"/>
      <c r="GS221" s="49"/>
      <c r="GT221" s="49"/>
      <c r="GU221" s="49"/>
      <c r="GV221" s="49"/>
      <c r="GW221" s="49"/>
      <c r="GX221" s="49"/>
      <c r="GY221" s="49"/>
      <c r="GZ221" s="49"/>
      <c r="HA221" s="49"/>
      <c r="HB221" s="49"/>
      <c r="HC221" s="49"/>
      <c r="HD221" s="49"/>
      <c r="HE221" s="49"/>
      <c r="HF221" s="49"/>
      <c r="HG221" s="49"/>
      <c r="HH221" s="49"/>
      <c r="HI221" s="49"/>
      <c r="HJ221" s="49"/>
      <c r="HK221" s="49"/>
      <c r="HL221" s="49"/>
      <c r="HM221" s="49"/>
      <c r="HN221" s="49"/>
      <c r="HO221" s="49"/>
      <c r="HP221" s="49"/>
      <c r="HQ221" s="49"/>
      <c r="HR221" s="49"/>
      <c r="HS221" s="49"/>
    </row>
    <row r="222" spans="1:227" s="15" customFormat="1" ht="12">
      <c r="A222" s="96"/>
      <c r="C222" s="15" t="s">
        <v>20</v>
      </c>
      <c r="G222" s="230"/>
      <c r="H222" s="136"/>
      <c r="I222" s="477"/>
      <c r="J222" s="477"/>
      <c r="K222" s="477"/>
      <c r="L222" s="475"/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  <c r="W222" s="111"/>
      <c r="X222" s="111"/>
      <c r="Y222" s="111"/>
      <c r="Z222" s="111"/>
      <c r="AA222" s="111"/>
      <c r="AB222" s="111"/>
      <c r="AC222" s="111"/>
      <c r="AD222" s="111"/>
      <c r="AE222" s="111"/>
      <c r="AF222" s="111"/>
      <c r="AG222" s="111"/>
      <c r="AH222" s="111"/>
      <c r="AI222" s="111"/>
      <c r="AJ222" s="111"/>
      <c r="AK222" s="111"/>
      <c r="AL222" s="111"/>
      <c r="AM222" s="111"/>
      <c r="AN222" s="111"/>
      <c r="AO222" s="111"/>
      <c r="AP222" s="111"/>
      <c r="AQ222" s="111"/>
      <c r="AR222" s="111"/>
      <c r="AS222" s="111"/>
      <c r="AT222" s="111"/>
      <c r="AU222" s="111"/>
      <c r="AV222" s="111"/>
      <c r="AW222" s="111"/>
      <c r="AX222" s="111"/>
      <c r="AY222" s="111"/>
      <c r="AZ222" s="111"/>
      <c r="BA222" s="111"/>
      <c r="BB222" s="111"/>
      <c r="BC222" s="111"/>
      <c r="BD222" s="111"/>
      <c r="BE222" s="111"/>
      <c r="BF222" s="111"/>
      <c r="BG222" s="111"/>
      <c r="BH222" s="111"/>
      <c r="BI222" s="111"/>
      <c r="BJ222" s="111"/>
      <c r="BK222" s="111"/>
      <c r="BL222" s="111"/>
      <c r="BM222" s="111"/>
      <c r="BN222" s="111"/>
      <c r="BO222" s="111"/>
      <c r="BP222" s="111"/>
      <c r="BQ222" s="111"/>
      <c r="BR222" s="111"/>
      <c r="BS222" s="111"/>
      <c r="BT222" s="111"/>
      <c r="BU222" s="111"/>
      <c r="BV222" s="111"/>
      <c r="BW222" s="111"/>
      <c r="BX222" s="111"/>
      <c r="BY222" s="111"/>
      <c r="BZ222" s="111"/>
      <c r="CA222" s="111"/>
      <c r="CB222" s="111"/>
      <c r="CC222" s="49"/>
      <c r="CD222" s="49"/>
      <c r="CE222" s="49"/>
      <c r="CF222" s="49"/>
      <c r="CG222" s="49"/>
      <c r="CH222" s="49"/>
      <c r="CI222" s="49"/>
      <c r="CJ222" s="49"/>
      <c r="CK222" s="49"/>
      <c r="CL222" s="49"/>
      <c r="CM222" s="49"/>
      <c r="CN222" s="49"/>
      <c r="CO222" s="49"/>
      <c r="CP222" s="49"/>
      <c r="CQ222" s="49"/>
      <c r="CR222" s="49"/>
      <c r="CS222" s="49"/>
      <c r="CT222" s="49"/>
      <c r="CU222" s="49"/>
      <c r="CV222" s="49"/>
      <c r="CW222" s="49"/>
      <c r="CX222" s="49"/>
      <c r="CY222" s="49"/>
      <c r="CZ222" s="49"/>
      <c r="DA222" s="49"/>
      <c r="DB222" s="49"/>
      <c r="DC222" s="49"/>
      <c r="DD222" s="49"/>
      <c r="DE222" s="49"/>
      <c r="DF222" s="49"/>
      <c r="DG222" s="49"/>
      <c r="DH222" s="49"/>
      <c r="DI222" s="49"/>
      <c r="DJ222" s="49"/>
      <c r="DK222" s="49"/>
      <c r="DL222" s="49"/>
      <c r="DM222" s="49"/>
      <c r="DN222" s="49"/>
      <c r="DO222" s="49"/>
      <c r="DP222" s="49"/>
      <c r="DQ222" s="49"/>
      <c r="DR222" s="49"/>
      <c r="DS222" s="49"/>
      <c r="DT222" s="49"/>
      <c r="DU222" s="49"/>
      <c r="DV222" s="49"/>
      <c r="DW222" s="49"/>
      <c r="DX222" s="49"/>
      <c r="DY222" s="49"/>
      <c r="DZ222" s="49"/>
      <c r="EA222" s="49"/>
      <c r="EB222" s="49"/>
      <c r="EC222" s="49"/>
      <c r="ED222" s="49"/>
      <c r="EE222" s="49"/>
      <c r="EF222" s="49"/>
      <c r="EG222" s="49"/>
      <c r="EH222" s="49"/>
      <c r="EI222" s="49"/>
      <c r="EJ222" s="49"/>
      <c r="EK222" s="49"/>
      <c r="EL222" s="49"/>
      <c r="EM222" s="49"/>
      <c r="EN222" s="49"/>
      <c r="EO222" s="49"/>
      <c r="EP222" s="49"/>
      <c r="EQ222" s="49"/>
      <c r="ER222" s="49"/>
      <c r="ES222" s="49"/>
      <c r="ET222" s="49"/>
      <c r="EU222" s="49"/>
      <c r="EV222" s="49"/>
      <c r="EW222" s="49"/>
      <c r="EX222" s="49"/>
      <c r="EY222" s="49"/>
      <c r="EZ222" s="49"/>
      <c r="FA222" s="49"/>
      <c r="FB222" s="49"/>
      <c r="FC222" s="49"/>
      <c r="FD222" s="49"/>
      <c r="FE222" s="49"/>
      <c r="FF222" s="49"/>
      <c r="FG222" s="49"/>
      <c r="FH222" s="49"/>
      <c r="FI222" s="49"/>
      <c r="FJ222" s="49"/>
      <c r="FK222" s="49"/>
      <c r="FL222" s="49"/>
      <c r="FM222" s="49"/>
      <c r="FN222" s="49"/>
      <c r="FO222" s="49"/>
      <c r="FP222" s="49"/>
      <c r="FQ222" s="49"/>
      <c r="FR222" s="49"/>
      <c r="FS222" s="49"/>
      <c r="FT222" s="49"/>
      <c r="FU222" s="49"/>
      <c r="FV222" s="49"/>
      <c r="FW222" s="49"/>
      <c r="FX222" s="49"/>
      <c r="FY222" s="49"/>
      <c r="FZ222" s="49"/>
      <c r="GA222" s="49"/>
      <c r="GB222" s="49"/>
      <c r="GC222" s="49"/>
      <c r="GD222" s="49"/>
      <c r="GE222" s="49"/>
      <c r="GF222" s="49"/>
      <c r="GG222" s="49"/>
      <c r="GH222" s="49"/>
      <c r="GI222" s="49"/>
      <c r="GJ222" s="49"/>
      <c r="GK222" s="49"/>
      <c r="GL222" s="49"/>
      <c r="GM222" s="49"/>
      <c r="GN222" s="49"/>
      <c r="GO222" s="49"/>
      <c r="GP222" s="49"/>
      <c r="GQ222" s="49"/>
      <c r="GR222" s="49"/>
      <c r="GS222" s="49"/>
      <c r="GT222" s="49"/>
      <c r="GU222" s="49"/>
      <c r="GV222" s="49"/>
      <c r="GW222" s="49"/>
      <c r="GX222" s="49"/>
      <c r="GY222" s="49"/>
      <c r="GZ222" s="49"/>
      <c r="HA222" s="49"/>
      <c r="HB222" s="49"/>
      <c r="HC222" s="49"/>
      <c r="HD222" s="49"/>
      <c r="HE222" s="49"/>
      <c r="HF222" s="49"/>
      <c r="HG222" s="49"/>
      <c r="HH222" s="49"/>
      <c r="HI222" s="49"/>
      <c r="HJ222" s="49"/>
      <c r="HK222" s="49"/>
      <c r="HL222" s="49"/>
      <c r="HM222" s="49"/>
      <c r="HN222" s="49"/>
      <c r="HO222" s="49"/>
      <c r="HP222" s="49"/>
      <c r="HQ222" s="49"/>
      <c r="HR222" s="49"/>
      <c r="HS222" s="49"/>
    </row>
    <row r="223" spans="1:227" s="15" customFormat="1" ht="12">
      <c r="A223" s="96"/>
      <c r="B223" s="86" t="s">
        <v>197</v>
      </c>
      <c r="G223" s="230"/>
      <c r="H223" s="136"/>
      <c r="I223" s="477"/>
      <c r="J223" s="477"/>
      <c r="K223" s="477"/>
      <c r="L223" s="475"/>
      <c r="M223" s="111"/>
      <c r="N223" s="111"/>
      <c r="O223" s="111"/>
      <c r="P223" s="111"/>
      <c r="Q223" s="111"/>
      <c r="R223" s="111"/>
      <c r="S223" s="111"/>
      <c r="T223" s="111"/>
      <c r="U223" s="111"/>
      <c r="V223" s="111"/>
      <c r="W223" s="111"/>
      <c r="X223" s="111"/>
      <c r="Y223" s="111"/>
      <c r="Z223" s="111"/>
      <c r="AA223" s="111"/>
      <c r="AB223" s="111"/>
      <c r="AC223" s="111"/>
      <c r="AD223" s="111"/>
      <c r="AE223" s="111"/>
      <c r="AF223" s="111"/>
      <c r="AG223" s="111"/>
      <c r="AH223" s="111"/>
      <c r="AI223" s="111"/>
      <c r="AJ223" s="111"/>
      <c r="AK223" s="111"/>
      <c r="AL223" s="111"/>
      <c r="AM223" s="111"/>
      <c r="AN223" s="111"/>
      <c r="AO223" s="111"/>
      <c r="AP223" s="111"/>
      <c r="AQ223" s="111"/>
      <c r="AR223" s="111"/>
      <c r="AS223" s="111"/>
      <c r="AT223" s="111"/>
      <c r="AU223" s="111"/>
      <c r="AV223" s="111"/>
      <c r="AW223" s="111"/>
      <c r="AX223" s="111"/>
      <c r="AY223" s="111"/>
      <c r="AZ223" s="111"/>
      <c r="BA223" s="111"/>
      <c r="BB223" s="111"/>
      <c r="BC223" s="111"/>
      <c r="BD223" s="111"/>
      <c r="BE223" s="111"/>
      <c r="BF223" s="111"/>
      <c r="BG223" s="111"/>
      <c r="BH223" s="111"/>
      <c r="BI223" s="111"/>
      <c r="BJ223" s="111"/>
      <c r="BK223" s="111"/>
      <c r="BL223" s="111"/>
      <c r="BM223" s="111"/>
      <c r="BN223" s="111"/>
      <c r="BO223" s="111"/>
      <c r="BP223" s="111"/>
      <c r="BQ223" s="111"/>
      <c r="BR223" s="111"/>
      <c r="BS223" s="111"/>
      <c r="BT223" s="111"/>
      <c r="BU223" s="111"/>
      <c r="BV223" s="111"/>
      <c r="BW223" s="111"/>
      <c r="BX223" s="111"/>
      <c r="BY223" s="111"/>
      <c r="BZ223" s="111"/>
      <c r="CA223" s="111"/>
      <c r="CB223" s="111"/>
      <c r="CC223" s="49"/>
      <c r="CD223" s="49"/>
      <c r="CE223" s="49"/>
      <c r="CF223" s="49"/>
      <c r="CG223" s="49"/>
      <c r="CH223" s="49"/>
      <c r="CI223" s="49"/>
      <c r="CJ223" s="49"/>
      <c r="CK223" s="49"/>
      <c r="CL223" s="49"/>
      <c r="CM223" s="49"/>
      <c r="CN223" s="49"/>
      <c r="CO223" s="49"/>
      <c r="CP223" s="49"/>
      <c r="CQ223" s="49"/>
      <c r="CR223" s="49"/>
      <c r="CS223" s="49"/>
      <c r="CT223" s="49"/>
      <c r="CU223" s="49"/>
      <c r="CV223" s="49"/>
      <c r="CW223" s="49"/>
      <c r="CX223" s="49"/>
      <c r="CY223" s="49"/>
      <c r="CZ223" s="49"/>
      <c r="DA223" s="49"/>
      <c r="DB223" s="49"/>
      <c r="DC223" s="49"/>
      <c r="DD223" s="49"/>
      <c r="DE223" s="49"/>
      <c r="DF223" s="49"/>
      <c r="DG223" s="49"/>
      <c r="DH223" s="49"/>
      <c r="DI223" s="49"/>
      <c r="DJ223" s="49"/>
      <c r="DK223" s="49"/>
      <c r="DL223" s="49"/>
      <c r="DM223" s="49"/>
      <c r="DN223" s="49"/>
      <c r="DO223" s="49"/>
      <c r="DP223" s="49"/>
      <c r="DQ223" s="49"/>
      <c r="DR223" s="49"/>
      <c r="DS223" s="49"/>
      <c r="DT223" s="49"/>
      <c r="DU223" s="49"/>
      <c r="DV223" s="49"/>
      <c r="DW223" s="49"/>
      <c r="DX223" s="49"/>
      <c r="DY223" s="49"/>
      <c r="DZ223" s="49"/>
      <c r="EA223" s="49"/>
      <c r="EB223" s="49"/>
      <c r="EC223" s="49"/>
      <c r="ED223" s="49"/>
      <c r="EE223" s="49"/>
      <c r="EF223" s="49"/>
      <c r="EG223" s="49"/>
      <c r="EH223" s="49"/>
      <c r="EI223" s="49"/>
      <c r="EJ223" s="49"/>
      <c r="EK223" s="49"/>
      <c r="EL223" s="49"/>
      <c r="EM223" s="49"/>
      <c r="EN223" s="49"/>
      <c r="EO223" s="49"/>
      <c r="EP223" s="49"/>
      <c r="EQ223" s="49"/>
      <c r="ER223" s="49"/>
      <c r="ES223" s="49"/>
      <c r="ET223" s="49"/>
      <c r="EU223" s="49"/>
      <c r="EV223" s="49"/>
      <c r="EW223" s="49"/>
      <c r="EX223" s="49"/>
      <c r="EY223" s="49"/>
      <c r="EZ223" s="49"/>
      <c r="FA223" s="49"/>
      <c r="FB223" s="49"/>
      <c r="FC223" s="49"/>
      <c r="FD223" s="49"/>
      <c r="FE223" s="49"/>
      <c r="FF223" s="49"/>
      <c r="FG223" s="49"/>
      <c r="FH223" s="49"/>
      <c r="FI223" s="49"/>
      <c r="FJ223" s="49"/>
      <c r="FK223" s="49"/>
      <c r="FL223" s="49"/>
      <c r="FM223" s="49"/>
      <c r="FN223" s="49"/>
      <c r="FO223" s="49"/>
      <c r="FP223" s="49"/>
      <c r="FQ223" s="49"/>
      <c r="FR223" s="49"/>
      <c r="FS223" s="49"/>
      <c r="FT223" s="49"/>
      <c r="FU223" s="49"/>
      <c r="FV223" s="49"/>
      <c r="FW223" s="49"/>
      <c r="FX223" s="49"/>
      <c r="FY223" s="49"/>
      <c r="FZ223" s="49"/>
      <c r="GA223" s="49"/>
      <c r="GB223" s="49"/>
      <c r="GC223" s="49"/>
      <c r="GD223" s="49"/>
      <c r="GE223" s="49"/>
      <c r="GF223" s="49"/>
      <c r="GG223" s="49"/>
      <c r="GH223" s="49"/>
      <c r="GI223" s="49"/>
      <c r="GJ223" s="49"/>
      <c r="GK223" s="49"/>
      <c r="GL223" s="49"/>
      <c r="GM223" s="49"/>
      <c r="GN223" s="49"/>
      <c r="GO223" s="49"/>
      <c r="GP223" s="49"/>
      <c r="GQ223" s="49"/>
      <c r="GR223" s="49"/>
      <c r="GS223" s="49"/>
      <c r="GT223" s="49"/>
      <c r="GU223" s="49"/>
      <c r="GV223" s="49"/>
      <c r="GW223" s="49"/>
      <c r="GX223" s="49"/>
      <c r="GY223" s="49"/>
      <c r="GZ223" s="49"/>
      <c r="HA223" s="49"/>
      <c r="HB223" s="49"/>
      <c r="HC223" s="49"/>
      <c r="HD223" s="49"/>
      <c r="HE223" s="49"/>
      <c r="HF223" s="49"/>
      <c r="HG223" s="49"/>
      <c r="HH223" s="49"/>
      <c r="HI223" s="49"/>
      <c r="HJ223" s="49"/>
      <c r="HK223" s="49"/>
      <c r="HL223" s="49"/>
      <c r="HM223" s="49"/>
      <c r="HN223" s="49"/>
      <c r="HO223" s="49"/>
      <c r="HP223" s="49"/>
      <c r="HQ223" s="49"/>
      <c r="HR223" s="49"/>
      <c r="HS223" s="49"/>
    </row>
    <row r="224" spans="1:227" s="15" customFormat="1" ht="12">
      <c r="A224" s="354"/>
      <c r="B224" s="230"/>
      <c r="C224" s="230"/>
      <c r="D224" s="230"/>
      <c r="E224" s="230"/>
      <c r="F224" s="230"/>
      <c r="G224" s="230"/>
      <c r="H224" s="136"/>
      <c r="I224" s="477"/>
      <c r="J224" s="477"/>
      <c r="K224" s="477"/>
      <c r="L224" s="475"/>
      <c r="M224" s="111"/>
      <c r="N224" s="111"/>
      <c r="O224" s="111"/>
      <c r="P224" s="111"/>
      <c r="Q224" s="111"/>
      <c r="R224" s="111"/>
      <c r="S224" s="111"/>
      <c r="T224" s="111"/>
      <c r="U224" s="111"/>
      <c r="V224" s="111"/>
      <c r="W224" s="111"/>
      <c r="X224" s="111"/>
      <c r="Y224" s="111"/>
      <c r="Z224" s="111"/>
      <c r="AA224" s="111"/>
      <c r="AB224" s="111"/>
      <c r="AC224" s="111"/>
      <c r="AD224" s="111"/>
      <c r="AE224" s="111"/>
      <c r="AF224" s="111"/>
      <c r="AG224" s="111"/>
      <c r="AH224" s="111"/>
      <c r="AI224" s="111"/>
      <c r="AJ224" s="111"/>
      <c r="AK224" s="111"/>
      <c r="AL224" s="111"/>
      <c r="AM224" s="111"/>
      <c r="AN224" s="111"/>
      <c r="AO224" s="111"/>
      <c r="AP224" s="111"/>
      <c r="AQ224" s="111"/>
      <c r="AR224" s="111"/>
      <c r="AS224" s="111"/>
      <c r="AT224" s="111"/>
      <c r="AU224" s="111"/>
      <c r="AV224" s="111"/>
      <c r="AW224" s="111"/>
      <c r="AX224" s="111"/>
      <c r="AY224" s="111"/>
      <c r="AZ224" s="111"/>
      <c r="BA224" s="111"/>
      <c r="BB224" s="111"/>
      <c r="BC224" s="111"/>
      <c r="BD224" s="111"/>
      <c r="BE224" s="111"/>
      <c r="BF224" s="111"/>
      <c r="BG224" s="111"/>
      <c r="BH224" s="111"/>
      <c r="BI224" s="111"/>
      <c r="BJ224" s="111"/>
      <c r="BK224" s="111"/>
      <c r="BL224" s="111"/>
      <c r="BM224" s="111"/>
      <c r="BN224" s="111"/>
      <c r="BO224" s="111"/>
      <c r="BP224" s="111"/>
      <c r="BQ224" s="111"/>
      <c r="BR224" s="111"/>
      <c r="BS224" s="111"/>
      <c r="BT224" s="111"/>
      <c r="BU224" s="111"/>
      <c r="BV224" s="111"/>
      <c r="BW224" s="111"/>
      <c r="BX224" s="111"/>
      <c r="BY224" s="111"/>
      <c r="BZ224" s="111"/>
      <c r="CA224" s="111"/>
      <c r="CB224" s="111"/>
      <c r="CC224" s="49"/>
      <c r="CD224" s="49"/>
      <c r="CE224" s="49"/>
      <c r="CF224" s="49"/>
      <c r="CG224" s="49"/>
      <c r="CH224" s="49"/>
      <c r="CI224" s="49"/>
      <c r="CJ224" s="49"/>
      <c r="CK224" s="49"/>
      <c r="CL224" s="49"/>
      <c r="CM224" s="49"/>
      <c r="CN224" s="49"/>
      <c r="CO224" s="49"/>
      <c r="CP224" s="49"/>
      <c r="CQ224" s="49"/>
      <c r="CR224" s="49"/>
      <c r="CS224" s="49"/>
      <c r="CT224" s="49"/>
      <c r="CU224" s="49"/>
      <c r="CV224" s="49"/>
      <c r="CW224" s="49"/>
      <c r="CX224" s="49"/>
      <c r="CY224" s="49"/>
      <c r="CZ224" s="49"/>
      <c r="DA224" s="49"/>
      <c r="DB224" s="49"/>
      <c r="DC224" s="49"/>
      <c r="DD224" s="49"/>
      <c r="DE224" s="49"/>
      <c r="DF224" s="49"/>
      <c r="DG224" s="49"/>
      <c r="DH224" s="49"/>
      <c r="DI224" s="49"/>
      <c r="DJ224" s="49"/>
      <c r="DK224" s="49"/>
      <c r="DL224" s="49"/>
      <c r="DM224" s="49"/>
      <c r="DN224" s="49"/>
      <c r="DO224" s="49"/>
      <c r="DP224" s="49"/>
      <c r="DQ224" s="49"/>
      <c r="DR224" s="49"/>
      <c r="DS224" s="49"/>
      <c r="DT224" s="49"/>
      <c r="DU224" s="49"/>
      <c r="DV224" s="49"/>
      <c r="DW224" s="49"/>
      <c r="DX224" s="49"/>
      <c r="DY224" s="49"/>
      <c r="DZ224" s="49"/>
      <c r="EA224" s="49"/>
      <c r="EB224" s="49"/>
      <c r="EC224" s="49"/>
      <c r="ED224" s="49"/>
      <c r="EE224" s="49"/>
      <c r="EF224" s="49"/>
      <c r="EG224" s="49"/>
      <c r="EH224" s="49"/>
      <c r="EI224" s="49"/>
      <c r="EJ224" s="49"/>
      <c r="EK224" s="49"/>
      <c r="EL224" s="49"/>
      <c r="EM224" s="49"/>
      <c r="EN224" s="49"/>
      <c r="EO224" s="49"/>
      <c r="EP224" s="49"/>
      <c r="EQ224" s="49"/>
      <c r="ER224" s="49"/>
      <c r="ES224" s="49"/>
      <c r="ET224" s="49"/>
      <c r="EU224" s="49"/>
      <c r="EV224" s="49"/>
      <c r="EW224" s="49"/>
      <c r="EX224" s="49"/>
      <c r="EY224" s="49"/>
      <c r="EZ224" s="49"/>
      <c r="FA224" s="49"/>
      <c r="FB224" s="49"/>
      <c r="FC224" s="49"/>
      <c r="FD224" s="49"/>
      <c r="FE224" s="49"/>
      <c r="FF224" s="49"/>
      <c r="FG224" s="49"/>
      <c r="FH224" s="49"/>
      <c r="FI224" s="49"/>
      <c r="FJ224" s="49"/>
      <c r="FK224" s="49"/>
      <c r="FL224" s="49"/>
      <c r="FM224" s="49"/>
      <c r="FN224" s="49"/>
      <c r="FO224" s="49"/>
      <c r="FP224" s="49"/>
      <c r="FQ224" s="49"/>
      <c r="FR224" s="49"/>
      <c r="FS224" s="49"/>
      <c r="FT224" s="49"/>
      <c r="FU224" s="49"/>
      <c r="FV224" s="49"/>
      <c r="FW224" s="49"/>
      <c r="FX224" s="49"/>
      <c r="FY224" s="49"/>
      <c r="FZ224" s="49"/>
      <c r="GA224" s="49"/>
      <c r="GB224" s="49"/>
      <c r="GC224" s="49"/>
      <c r="GD224" s="49"/>
      <c r="GE224" s="49"/>
      <c r="GF224" s="49"/>
      <c r="GG224" s="49"/>
      <c r="GH224" s="49"/>
      <c r="GI224" s="49"/>
      <c r="GJ224" s="49"/>
      <c r="GK224" s="49"/>
      <c r="GL224" s="49"/>
      <c r="GM224" s="49"/>
      <c r="GN224" s="49"/>
      <c r="GO224" s="49"/>
      <c r="GP224" s="49"/>
      <c r="GQ224" s="49"/>
      <c r="GR224" s="49"/>
      <c r="GS224" s="49"/>
      <c r="GT224" s="49"/>
      <c r="GU224" s="49"/>
      <c r="GV224" s="49"/>
      <c r="GW224" s="49"/>
      <c r="GX224" s="49"/>
      <c r="GY224" s="49"/>
      <c r="GZ224" s="49"/>
      <c r="HA224" s="49"/>
      <c r="HB224" s="49"/>
      <c r="HC224" s="49"/>
      <c r="HD224" s="49"/>
      <c r="HE224" s="49"/>
      <c r="HF224" s="49"/>
      <c r="HG224" s="49"/>
      <c r="HH224" s="49"/>
      <c r="HI224" s="49"/>
      <c r="HJ224" s="49"/>
      <c r="HK224" s="49"/>
      <c r="HL224" s="49"/>
      <c r="HM224" s="49"/>
      <c r="HN224" s="49"/>
      <c r="HO224" s="49"/>
      <c r="HP224" s="49"/>
      <c r="HQ224" s="49"/>
      <c r="HR224" s="49"/>
      <c r="HS224" s="49"/>
    </row>
    <row r="225" spans="1:227" s="15" customFormat="1" ht="12">
      <c r="A225" s="85" t="s">
        <v>312</v>
      </c>
      <c r="B225" s="86" t="s">
        <v>198</v>
      </c>
      <c r="C225" s="86"/>
      <c r="D225" s="86"/>
      <c r="E225" s="86"/>
      <c r="F225" s="86"/>
      <c r="G225" s="234"/>
      <c r="H225" s="136"/>
      <c r="I225" s="477"/>
      <c r="J225" s="477"/>
      <c r="K225" s="477"/>
      <c r="L225" s="475"/>
      <c r="M225" s="111"/>
      <c r="N225" s="111"/>
      <c r="O225" s="111"/>
      <c r="P225" s="111"/>
      <c r="Q225" s="111"/>
      <c r="R225" s="111"/>
      <c r="S225" s="111"/>
      <c r="T225" s="111"/>
      <c r="U225" s="111"/>
      <c r="V225" s="111"/>
      <c r="W225" s="111"/>
      <c r="X225" s="111"/>
      <c r="Y225" s="111"/>
      <c r="Z225" s="111"/>
      <c r="AA225" s="111"/>
      <c r="AB225" s="111"/>
      <c r="AC225" s="111"/>
      <c r="AD225" s="111"/>
      <c r="AE225" s="111"/>
      <c r="AF225" s="111"/>
      <c r="AG225" s="111"/>
      <c r="AH225" s="111"/>
      <c r="AI225" s="111"/>
      <c r="AJ225" s="111"/>
      <c r="AK225" s="111"/>
      <c r="AL225" s="111"/>
      <c r="AM225" s="111"/>
      <c r="AN225" s="111"/>
      <c r="AO225" s="111"/>
      <c r="AP225" s="111"/>
      <c r="AQ225" s="111"/>
      <c r="AR225" s="111"/>
      <c r="AS225" s="111"/>
      <c r="AT225" s="111"/>
      <c r="AU225" s="111"/>
      <c r="AV225" s="111"/>
      <c r="AW225" s="111"/>
      <c r="AX225" s="111"/>
      <c r="AY225" s="111"/>
      <c r="AZ225" s="111"/>
      <c r="BA225" s="111"/>
      <c r="BB225" s="111"/>
      <c r="BC225" s="111"/>
      <c r="BD225" s="111"/>
      <c r="BE225" s="111"/>
      <c r="BF225" s="111"/>
      <c r="BG225" s="111"/>
      <c r="BH225" s="111"/>
      <c r="BI225" s="111"/>
      <c r="BJ225" s="111"/>
      <c r="BK225" s="111"/>
      <c r="BL225" s="111"/>
      <c r="BM225" s="111"/>
      <c r="BN225" s="111"/>
      <c r="BO225" s="111"/>
      <c r="BP225" s="111"/>
      <c r="BQ225" s="111"/>
      <c r="BR225" s="111"/>
      <c r="BS225" s="111"/>
      <c r="BT225" s="111"/>
      <c r="BU225" s="111"/>
      <c r="BV225" s="111"/>
      <c r="BW225" s="111"/>
      <c r="BX225" s="111"/>
      <c r="BY225" s="111"/>
      <c r="BZ225" s="111"/>
      <c r="CA225" s="111"/>
      <c r="CB225" s="111"/>
      <c r="CC225" s="49"/>
      <c r="CD225" s="49"/>
      <c r="CE225" s="49"/>
      <c r="CF225" s="49"/>
      <c r="CG225" s="49"/>
      <c r="CH225" s="49"/>
      <c r="CI225" s="49"/>
      <c r="CJ225" s="49"/>
      <c r="CK225" s="49"/>
      <c r="CL225" s="49"/>
      <c r="CM225" s="49"/>
      <c r="CN225" s="49"/>
      <c r="CO225" s="49"/>
      <c r="CP225" s="49"/>
      <c r="CQ225" s="49"/>
      <c r="CR225" s="49"/>
      <c r="CS225" s="49"/>
      <c r="CT225" s="49"/>
      <c r="CU225" s="49"/>
      <c r="CV225" s="49"/>
      <c r="CW225" s="49"/>
      <c r="CX225" s="49"/>
      <c r="CY225" s="49"/>
      <c r="CZ225" s="49"/>
      <c r="DA225" s="49"/>
      <c r="DB225" s="49"/>
      <c r="DC225" s="49"/>
      <c r="DD225" s="49"/>
      <c r="DE225" s="49"/>
      <c r="DF225" s="49"/>
      <c r="DG225" s="49"/>
      <c r="DH225" s="49"/>
      <c r="DI225" s="49"/>
      <c r="DJ225" s="49"/>
      <c r="DK225" s="49"/>
      <c r="DL225" s="49"/>
      <c r="DM225" s="49"/>
      <c r="DN225" s="49"/>
      <c r="DO225" s="49"/>
      <c r="DP225" s="49"/>
      <c r="DQ225" s="49"/>
      <c r="DR225" s="49"/>
      <c r="DS225" s="49"/>
      <c r="DT225" s="49"/>
      <c r="DU225" s="49"/>
      <c r="DV225" s="49"/>
      <c r="DW225" s="49"/>
      <c r="DX225" s="49"/>
      <c r="DY225" s="49"/>
      <c r="DZ225" s="49"/>
      <c r="EA225" s="49"/>
      <c r="EB225" s="49"/>
      <c r="EC225" s="49"/>
      <c r="ED225" s="49"/>
      <c r="EE225" s="49"/>
      <c r="EF225" s="49"/>
      <c r="EG225" s="49"/>
      <c r="EH225" s="49"/>
      <c r="EI225" s="49"/>
      <c r="EJ225" s="49"/>
      <c r="EK225" s="49"/>
      <c r="EL225" s="49"/>
      <c r="EM225" s="49"/>
      <c r="EN225" s="49"/>
      <c r="EO225" s="49"/>
      <c r="EP225" s="49"/>
      <c r="EQ225" s="49"/>
      <c r="ER225" s="49"/>
      <c r="ES225" s="49"/>
      <c r="ET225" s="49"/>
      <c r="EU225" s="49"/>
      <c r="EV225" s="49"/>
      <c r="EW225" s="49"/>
      <c r="EX225" s="49"/>
      <c r="EY225" s="49"/>
      <c r="EZ225" s="49"/>
      <c r="FA225" s="49"/>
      <c r="FB225" s="49"/>
      <c r="FC225" s="49"/>
      <c r="FD225" s="49"/>
      <c r="FE225" s="49"/>
      <c r="FF225" s="49"/>
      <c r="FG225" s="49"/>
      <c r="FH225" s="49"/>
      <c r="FI225" s="49"/>
      <c r="FJ225" s="49"/>
      <c r="FK225" s="49"/>
      <c r="FL225" s="49"/>
      <c r="FM225" s="49"/>
      <c r="FN225" s="49"/>
      <c r="FO225" s="49"/>
      <c r="FP225" s="49"/>
      <c r="FQ225" s="49"/>
      <c r="FR225" s="49"/>
      <c r="FS225" s="49"/>
      <c r="FT225" s="49"/>
      <c r="FU225" s="49"/>
      <c r="FV225" s="49"/>
      <c r="FW225" s="49"/>
      <c r="FX225" s="49"/>
      <c r="FY225" s="49"/>
      <c r="FZ225" s="49"/>
      <c r="GA225" s="49"/>
      <c r="GB225" s="49"/>
      <c r="GC225" s="49"/>
      <c r="GD225" s="49"/>
      <c r="GE225" s="49"/>
      <c r="GF225" s="49"/>
      <c r="GG225" s="49"/>
      <c r="GH225" s="49"/>
      <c r="GI225" s="49"/>
      <c r="GJ225" s="49"/>
      <c r="GK225" s="49"/>
      <c r="GL225" s="49"/>
      <c r="GM225" s="49"/>
      <c r="GN225" s="49"/>
      <c r="GO225" s="49"/>
      <c r="GP225" s="49"/>
      <c r="GQ225" s="49"/>
      <c r="GR225" s="49"/>
      <c r="GS225" s="49"/>
      <c r="GT225" s="49"/>
      <c r="GU225" s="49"/>
      <c r="GV225" s="49"/>
      <c r="GW225" s="49"/>
      <c r="GX225" s="49"/>
      <c r="GY225" s="49"/>
      <c r="GZ225" s="49"/>
      <c r="HA225" s="49"/>
      <c r="HB225" s="49"/>
      <c r="HC225" s="49"/>
      <c r="HD225" s="49"/>
      <c r="HE225" s="49"/>
      <c r="HF225" s="49"/>
      <c r="HG225" s="49"/>
      <c r="HH225" s="49"/>
      <c r="HI225" s="49"/>
      <c r="HJ225" s="49"/>
      <c r="HK225" s="49"/>
      <c r="HL225" s="49"/>
      <c r="HM225" s="49"/>
      <c r="HN225" s="49"/>
      <c r="HO225" s="49"/>
      <c r="HP225" s="49"/>
      <c r="HQ225" s="49"/>
      <c r="HR225" s="49"/>
      <c r="HS225" s="49"/>
    </row>
    <row r="226" spans="1:227" s="15" customFormat="1" ht="12">
      <c r="A226" s="85" t="s">
        <v>313</v>
      </c>
      <c r="B226" s="86"/>
      <c r="C226" s="15" t="s">
        <v>30</v>
      </c>
      <c r="E226" s="86"/>
      <c r="F226" s="86"/>
      <c r="G226" s="234"/>
      <c r="H226" s="127"/>
      <c r="I226" s="477"/>
      <c r="J226" s="477"/>
      <c r="K226" s="477"/>
      <c r="L226" s="475"/>
      <c r="M226" s="111"/>
      <c r="N226" s="111"/>
      <c r="O226" s="111"/>
      <c r="P226" s="111"/>
      <c r="Q226" s="111"/>
      <c r="R226" s="111"/>
      <c r="S226" s="111"/>
      <c r="T226" s="111"/>
      <c r="U226" s="111"/>
      <c r="V226" s="111"/>
      <c r="W226" s="111"/>
      <c r="X226" s="111"/>
      <c r="Y226" s="111"/>
      <c r="Z226" s="111"/>
      <c r="AA226" s="111"/>
      <c r="AB226" s="111"/>
      <c r="AC226" s="111"/>
      <c r="AD226" s="111"/>
      <c r="AE226" s="111"/>
      <c r="AF226" s="111"/>
      <c r="AG226" s="111"/>
      <c r="AH226" s="111"/>
      <c r="AI226" s="111"/>
      <c r="AJ226" s="111"/>
      <c r="AK226" s="111"/>
      <c r="AL226" s="111"/>
      <c r="AM226" s="111"/>
      <c r="AN226" s="111"/>
      <c r="AO226" s="111"/>
      <c r="AP226" s="111"/>
      <c r="AQ226" s="111"/>
      <c r="AR226" s="111"/>
      <c r="AS226" s="111"/>
      <c r="AT226" s="111"/>
      <c r="AU226" s="111"/>
      <c r="AV226" s="111"/>
      <c r="AW226" s="111"/>
      <c r="AX226" s="111"/>
      <c r="AY226" s="111"/>
      <c r="AZ226" s="111"/>
      <c r="BA226" s="111"/>
      <c r="BB226" s="111"/>
      <c r="BC226" s="111"/>
      <c r="BD226" s="111"/>
      <c r="BE226" s="111"/>
      <c r="BF226" s="111"/>
      <c r="BG226" s="111"/>
      <c r="BH226" s="111"/>
      <c r="BI226" s="111"/>
      <c r="BJ226" s="111"/>
      <c r="BK226" s="111"/>
      <c r="BL226" s="111"/>
      <c r="BM226" s="111"/>
      <c r="BN226" s="111"/>
      <c r="BO226" s="111"/>
      <c r="BP226" s="111"/>
      <c r="BQ226" s="111"/>
      <c r="BR226" s="111"/>
      <c r="BS226" s="111"/>
      <c r="BT226" s="111"/>
      <c r="BU226" s="111"/>
      <c r="BV226" s="111"/>
      <c r="BW226" s="111"/>
      <c r="BX226" s="111"/>
      <c r="BY226" s="111"/>
      <c r="BZ226" s="111"/>
      <c r="CA226" s="111"/>
      <c r="CB226" s="111"/>
      <c r="CC226" s="49"/>
      <c r="CD226" s="49"/>
      <c r="CE226" s="49"/>
      <c r="CF226" s="49"/>
      <c r="CG226" s="49"/>
      <c r="CH226" s="49"/>
      <c r="CI226" s="49"/>
      <c r="CJ226" s="49"/>
      <c r="CK226" s="49"/>
      <c r="CL226" s="49"/>
      <c r="CM226" s="49"/>
      <c r="CN226" s="49"/>
      <c r="CO226" s="49"/>
      <c r="CP226" s="49"/>
      <c r="CQ226" s="49"/>
      <c r="CR226" s="49"/>
      <c r="CS226" s="49"/>
      <c r="CT226" s="49"/>
      <c r="CU226" s="49"/>
      <c r="CV226" s="49"/>
      <c r="CW226" s="49"/>
      <c r="CX226" s="49"/>
      <c r="CY226" s="49"/>
      <c r="CZ226" s="49"/>
      <c r="DA226" s="49"/>
      <c r="DB226" s="49"/>
      <c r="DC226" s="49"/>
      <c r="DD226" s="49"/>
      <c r="DE226" s="49"/>
      <c r="DF226" s="49"/>
      <c r="DG226" s="49"/>
      <c r="DH226" s="49"/>
      <c r="DI226" s="49"/>
      <c r="DJ226" s="49"/>
      <c r="DK226" s="49"/>
      <c r="DL226" s="49"/>
      <c r="DM226" s="49"/>
      <c r="DN226" s="49"/>
      <c r="DO226" s="49"/>
      <c r="DP226" s="49"/>
      <c r="DQ226" s="49"/>
      <c r="DR226" s="49"/>
      <c r="DS226" s="49"/>
      <c r="DT226" s="49"/>
      <c r="DU226" s="49"/>
      <c r="DV226" s="49"/>
      <c r="DW226" s="49"/>
      <c r="DX226" s="49"/>
      <c r="DY226" s="49"/>
      <c r="DZ226" s="49"/>
      <c r="EA226" s="49"/>
      <c r="EB226" s="49"/>
      <c r="EC226" s="49"/>
      <c r="ED226" s="49"/>
      <c r="EE226" s="49"/>
      <c r="EF226" s="49"/>
      <c r="EG226" s="49"/>
      <c r="EH226" s="49"/>
      <c r="EI226" s="49"/>
      <c r="EJ226" s="49"/>
      <c r="EK226" s="49"/>
      <c r="EL226" s="49"/>
      <c r="EM226" s="49"/>
      <c r="EN226" s="49"/>
      <c r="EO226" s="49"/>
      <c r="EP226" s="49"/>
      <c r="EQ226" s="49"/>
      <c r="ER226" s="49"/>
      <c r="ES226" s="49"/>
      <c r="ET226" s="49"/>
      <c r="EU226" s="49"/>
      <c r="EV226" s="49"/>
      <c r="EW226" s="49"/>
      <c r="EX226" s="49"/>
      <c r="EY226" s="49"/>
      <c r="EZ226" s="49"/>
      <c r="FA226" s="49"/>
      <c r="FB226" s="49"/>
      <c r="FC226" s="49"/>
      <c r="FD226" s="49"/>
      <c r="FE226" s="49"/>
      <c r="FF226" s="49"/>
      <c r="FG226" s="49"/>
      <c r="FH226" s="49"/>
      <c r="FI226" s="49"/>
      <c r="FJ226" s="49"/>
      <c r="FK226" s="49"/>
      <c r="FL226" s="49"/>
      <c r="FM226" s="49"/>
      <c r="FN226" s="49"/>
      <c r="FO226" s="49"/>
      <c r="FP226" s="49"/>
      <c r="FQ226" s="49"/>
      <c r="FR226" s="49"/>
      <c r="FS226" s="49"/>
      <c r="FT226" s="49"/>
      <c r="FU226" s="49"/>
      <c r="FV226" s="49"/>
      <c r="FW226" s="49"/>
      <c r="FX226" s="49"/>
      <c r="FY226" s="49"/>
      <c r="FZ226" s="49"/>
      <c r="GA226" s="49"/>
      <c r="GB226" s="49"/>
      <c r="GC226" s="49"/>
      <c r="GD226" s="49"/>
      <c r="GE226" s="49"/>
      <c r="GF226" s="49"/>
      <c r="GG226" s="49"/>
      <c r="GH226" s="49"/>
      <c r="GI226" s="49"/>
      <c r="GJ226" s="49"/>
      <c r="GK226" s="49"/>
      <c r="GL226" s="49"/>
      <c r="GM226" s="49"/>
      <c r="GN226" s="49"/>
      <c r="GO226" s="49"/>
      <c r="GP226" s="49"/>
      <c r="GQ226" s="49"/>
      <c r="GR226" s="49"/>
      <c r="GS226" s="49"/>
      <c r="GT226" s="49"/>
      <c r="GU226" s="49"/>
      <c r="GV226" s="49"/>
      <c r="GW226" s="49"/>
      <c r="GX226" s="49"/>
      <c r="GY226" s="49"/>
      <c r="GZ226" s="49"/>
      <c r="HA226" s="49"/>
      <c r="HB226" s="49"/>
      <c r="HC226" s="49"/>
      <c r="HD226" s="49"/>
      <c r="HE226" s="49"/>
      <c r="HF226" s="49"/>
      <c r="HG226" s="49"/>
      <c r="HH226" s="49"/>
      <c r="HI226" s="49"/>
      <c r="HJ226" s="49"/>
      <c r="HK226" s="49"/>
      <c r="HL226" s="49"/>
      <c r="HM226" s="49"/>
      <c r="HN226" s="49"/>
      <c r="HO226" s="49"/>
      <c r="HP226" s="49"/>
      <c r="HQ226" s="49"/>
      <c r="HR226" s="49"/>
      <c r="HS226" s="49"/>
    </row>
    <row r="227" spans="1:227" s="15" customFormat="1" ht="12">
      <c r="A227" s="96"/>
      <c r="C227" s="15" t="s">
        <v>10</v>
      </c>
      <c r="G227" s="230"/>
      <c r="H227" s="136" t="s">
        <v>429</v>
      </c>
      <c r="I227" s="477"/>
      <c r="J227" s="477"/>
      <c r="K227" s="477"/>
      <c r="L227" s="475"/>
      <c r="M227" s="111"/>
      <c r="N227" s="111"/>
      <c r="O227" s="111"/>
      <c r="P227" s="111"/>
      <c r="Q227" s="111"/>
      <c r="R227" s="111"/>
      <c r="S227" s="111"/>
      <c r="T227" s="111"/>
      <c r="U227" s="111"/>
      <c r="V227" s="111"/>
      <c r="W227" s="111"/>
      <c r="X227" s="111"/>
      <c r="Y227" s="111"/>
      <c r="Z227" s="111"/>
      <c r="AA227" s="111"/>
      <c r="AB227" s="111"/>
      <c r="AC227" s="111"/>
      <c r="AD227" s="111"/>
      <c r="AE227" s="111"/>
      <c r="AF227" s="111"/>
      <c r="AG227" s="111"/>
      <c r="AH227" s="111"/>
      <c r="AI227" s="111"/>
      <c r="AJ227" s="111"/>
      <c r="AK227" s="111"/>
      <c r="AL227" s="111"/>
      <c r="AM227" s="111"/>
      <c r="AN227" s="111"/>
      <c r="AO227" s="111"/>
      <c r="AP227" s="111"/>
      <c r="AQ227" s="111"/>
      <c r="AR227" s="111"/>
      <c r="AS227" s="111"/>
      <c r="AT227" s="111"/>
      <c r="AU227" s="111"/>
      <c r="AV227" s="111"/>
      <c r="AW227" s="111"/>
      <c r="AX227" s="111"/>
      <c r="AY227" s="111"/>
      <c r="AZ227" s="111"/>
      <c r="BA227" s="111"/>
      <c r="BB227" s="111"/>
      <c r="BC227" s="111"/>
      <c r="BD227" s="111"/>
      <c r="BE227" s="111"/>
      <c r="BF227" s="111"/>
      <c r="BG227" s="111"/>
      <c r="BH227" s="111"/>
      <c r="BI227" s="111"/>
      <c r="BJ227" s="111"/>
      <c r="BK227" s="111"/>
      <c r="BL227" s="111"/>
      <c r="BM227" s="111"/>
      <c r="BN227" s="111"/>
      <c r="BO227" s="111"/>
      <c r="BP227" s="111"/>
      <c r="BQ227" s="111"/>
      <c r="BR227" s="111"/>
      <c r="BS227" s="111"/>
      <c r="BT227" s="111"/>
      <c r="BU227" s="111"/>
      <c r="BV227" s="111"/>
      <c r="BW227" s="111"/>
      <c r="BX227" s="111"/>
      <c r="BY227" s="111"/>
      <c r="BZ227" s="111"/>
      <c r="CA227" s="111"/>
      <c r="CB227" s="111"/>
      <c r="CC227" s="49"/>
      <c r="CD227" s="49"/>
      <c r="CE227" s="49"/>
      <c r="CF227" s="49"/>
      <c r="CG227" s="49"/>
      <c r="CH227" s="49"/>
      <c r="CI227" s="49"/>
      <c r="CJ227" s="49"/>
      <c r="CK227" s="49"/>
      <c r="CL227" s="49"/>
      <c r="CM227" s="49"/>
      <c r="CN227" s="49"/>
      <c r="CO227" s="49"/>
      <c r="CP227" s="49"/>
      <c r="CQ227" s="49"/>
      <c r="CR227" s="49"/>
      <c r="CS227" s="49"/>
      <c r="CT227" s="49"/>
      <c r="CU227" s="49"/>
      <c r="CV227" s="49"/>
      <c r="CW227" s="49"/>
      <c r="CX227" s="49"/>
      <c r="CY227" s="49"/>
      <c r="CZ227" s="49"/>
      <c r="DA227" s="49"/>
      <c r="DB227" s="49"/>
      <c r="DC227" s="49"/>
      <c r="DD227" s="49"/>
      <c r="DE227" s="49"/>
      <c r="DF227" s="49"/>
      <c r="DG227" s="49"/>
      <c r="DH227" s="49"/>
      <c r="DI227" s="49"/>
      <c r="DJ227" s="49"/>
      <c r="DK227" s="49"/>
      <c r="DL227" s="49"/>
      <c r="DM227" s="49"/>
      <c r="DN227" s="49"/>
      <c r="DO227" s="49"/>
      <c r="DP227" s="49"/>
      <c r="DQ227" s="49"/>
      <c r="DR227" s="49"/>
      <c r="DS227" s="49"/>
      <c r="DT227" s="49"/>
      <c r="DU227" s="49"/>
      <c r="DV227" s="49"/>
      <c r="DW227" s="49"/>
      <c r="DX227" s="49"/>
      <c r="DY227" s="49"/>
      <c r="DZ227" s="49"/>
      <c r="EA227" s="49"/>
      <c r="EB227" s="49"/>
      <c r="EC227" s="49"/>
      <c r="ED227" s="49"/>
      <c r="EE227" s="49"/>
      <c r="EF227" s="49"/>
      <c r="EG227" s="49"/>
      <c r="EH227" s="49"/>
      <c r="EI227" s="49"/>
      <c r="EJ227" s="49"/>
      <c r="EK227" s="49"/>
      <c r="EL227" s="49"/>
      <c r="EM227" s="49"/>
      <c r="EN227" s="49"/>
      <c r="EO227" s="49"/>
      <c r="EP227" s="49"/>
      <c r="EQ227" s="49"/>
      <c r="ER227" s="49"/>
      <c r="ES227" s="49"/>
      <c r="ET227" s="49"/>
      <c r="EU227" s="49"/>
      <c r="EV227" s="49"/>
      <c r="EW227" s="49"/>
      <c r="EX227" s="49"/>
      <c r="EY227" s="49"/>
      <c r="EZ227" s="49"/>
      <c r="FA227" s="49"/>
      <c r="FB227" s="49"/>
      <c r="FC227" s="49"/>
      <c r="FD227" s="49"/>
      <c r="FE227" s="49"/>
      <c r="FF227" s="49"/>
      <c r="FG227" s="49"/>
      <c r="FH227" s="49"/>
      <c r="FI227" s="49"/>
      <c r="FJ227" s="49"/>
      <c r="FK227" s="49"/>
      <c r="FL227" s="49"/>
      <c r="FM227" s="49"/>
      <c r="FN227" s="49"/>
      <c r="FO227" s="49"/>
      <c r="FP227" s="49"/>
      <c r="FQ227" s="49"/>
      <c r="FR227" s="49"/>
      <c r="FS227" s="49"/>
      <c r="FT227" s="49"/>
      <c r="FU227" s="49"/>
      <c r="FV227" s="49"/>
      <c r="FW227" s="49"/>
      <c r="FX227" s="49"/>
      <c r="FY227" s="49"/>
      <c r="FZ227" s="49"/>
      <c r="GA227" s="49"/>
      <c r="GB227" s="49"/>
      <c r="GC227" s="49"/>
      <c r="GD227" s="49"/>
      <c r="GE227" s="49"/>
      <c r="GF227" s="49"/>
      <c r="GG227" s="49"/>
      <c r="GH227" s="49"/>
      <c r="GI227" s="49"/>
      <c r="GJ227" s="49"/>
      <c r="GK227" s="49"/>
      <c r="GL227" s="49"/>
      <c r="GM227" s="49"/>
      <c r="GN227" s="49"/>
      <c r="GO227" s="49"/>
      <c r="GP227" s="49"/>
      <c r="GQ227" s="49"/>
      <c r="GR227" s="49"/>
      <c r="GS227" s="49"/>
      <c r="GT227" s="49"/>
      <c r="GU227" s="49"/>
      <c r="GV227" s="49"/>
      <c r="GW227" s="49"/>
      <c r="GX227" s="49"/>
      <c r="GY227" s="49"/>
      <c r="GZ227" s="49"/>
      <c r="HA227" s="49"/>
      <c r="HB227" s="49"/>
      <c r="HC227" s="49"/>
      <c r="HD227" s="49"/>
      <c r="HE227" s="49"/>
      <c r="HF227" s="49"/>
      <c r="HG227" s="49"/>
      <c r="HH227" s="49"/>
      <c r="HI227" s="49"/>
      <c r="HJ227" s="49"/>
      <c r="HK227" s="49"/>
      <c r="HL227" s="49"/>
      <c r="HM227" s="49"/>
      <c r="HN227" s="49"/>
      <c r="HO227" s="49"/>
      <c r="HP227" s="49"/>
      <c r="HQ227" s="49"/>
      <c r="HR227" s="49"/>
      <c r="HS227" s="49"/>
    </row>
    <row r="228" spans="1:227" s="15" customFormat="1" ht="60">
      <c r="A228" s="96" t="s">
        <v>314</v>
      </c>
      <c r="D228" s="15" t="s">
        <v>11</v>
      </c>
      <c r="G228" s="230"/>
      <c r="H228" s="127" t="s">
        <v>466</v>
      </c>
      <c r="I228" s="477"/>
      <c r="J228" s="127" t="s">
        <v>502</v>
      </c>
      <c r="K228" s="477"/>
      <c r="L228" s="475"/>
      <c r="M228" s="111"/>
      <c r="N228" s="111"/>
      <c r="O228" s="111"/>
      <c r="P228" s="111"/>
      <c r="Q228" s="111"/>
      <c r="R228" s="111"/>
      <c r="S228" s="111"/>
      <c r="T228" s="111"/>
      <c r="U228" s="111"/>
      <c r="V228" s="111"/>
      <c r="W228" s="111"/>
      <c r="X228" s="111"/>
      <c r="Y228" s="111"/>
      <c r="Z228" s="111"/>
      <c r="AA228" s="111"/>
      <c r="AB228" s="111"/>
      <c r="AC228" s="111"/>
      <c r="AD228" s="111"/>
      <c r="AE228" s="111"/>
      <c r="AF228" s="111"/>
      <c r="AG228" s="111"/>
      <c r="AH228" s="111"/>
      <c r="AI228" s="111"/>
      <c r="AJ228" s="111"/>
      <c r="AK228" s="111"/>
      <c r="AL228" s="111"/>
      <c r="AM228" s="111"/>
      <c r="AN228" s="111"/>
      <c r="AO228" s="111"/>
      <c r="AP228" s="111"/>
      <c r="AQ228" s="111"/>
      <c r="AR228" s="111"/>
      <c r="AS228" s="111"/>
      <c r="AT228" s="111"/>
      <c r="AU228" s="111"/>
      <c r="AV228" s="111"/>
      <c r="AW228" s="111"/>
      <c r="AX228" s="111"/>
      <c r="AY228" s="111"/>
      <c r="AZ228" s="111"/>
      <c r="BA228" s="111"/>
      <c r="BB228" s="111"/>
      <c r="BC228" s="111"/>
      <c r="BD228" s="111"/>
      <c r="BE228" s="111"/>
      <c r="BF228" s="111"/>
      <c r="BG228" s="111"/>
      <c r="BH228" s="111"/>
      <c r="BI228" s="111"/>
      <c r="BJ228" s="111"/>
      <c r="BK228" s="111"/>
      <c r="BL228" s="111"/>
      <c r="BM228" s="111"/>
      <c r="BN228" s="111"/>
      <c r="BO228" s="111"/>
      <c r="BP228" s="111"/>
      <c r="BQ228" s="111"/>
      <c r="BR228" s="111"/>
      <c r="BS228" s="111"/>
      <c r="BT228" s="111"/>
      <c r="BU228" s="111"/>
      <c r="BV228" s="111"/>
      <c r="BW228" s="111"/>
      <c r="BX228" s="111"/>
      <c r="BY228" s="111"/>
      <c r="BZ228" s="111"/>
      <c r="CA228" s="111"/>
      <c r="CB228" s="111"/>
      <c r="CC228" s="49"/>
      <c r="CD228" s="49"/>
      <c r="CE228" s="49"/>
      <c r="CF228" s="49"/>
      <c r="CG228" s="49"/>
      <c r="CH228" s="49"/>
      <c r="CI228" s="49"/>
      <c r="CJ228" s="49"/>
      <c r="CK228" s="49"/>
      <c r="CL228" s="49"/>
      <c r="CM228" s="49"/>
      <c r="CN228" s="49"/>
      <c r="CO228" s="49"/>
      <c r="CP228" s="49"/>
      <c r="CQ228" s="49"/>
      <c r="CR228" s="49"/>
      <c r="CS228" s="49"/>
      <c r="CT228" s="49"/>
      <c r="CU228" s="49"/>
      <c r="CV228" s="49"/>
      <c r="CW228" s="49"/>
      <c r="CX228" s="49"/>
      <c r="CY228" s="49"/>
      <c r="CZ228" s="49"/>
      <c r="DA228" s="49"/>
      <c r="DB228" s="49"/>
      <c r="DC228" s="49"/>
      <c r="DD228" s="49"/>
      <c r="DE228" s="49"/>
      <c r="DF228" s="49"/>
      <c r="DG228" s="49"/>
      <c r="DH228" s="49"/>
      <c r="DI228" s="49"/>
      <c r="DJ228" s="49"/>
      <c r="DK228" s="49"/>
      <c r="DL228" s="49"/>
      <c r="DM228" s="49"/>
      <c r="DN228" s="49"/>
      <c r="DO228" s="49"/>
      <c r="DP228" s="49"/>
      <c r="DQ228" s="49"/>
      <c r="DR228" s="49"/>
      <c r="DS228" s="49"/>
      <c r="DT228" s="49"/>
      <c r="DU228" s="49"/>
      <c r="DV228" s="49"/>
      <c r="DW228" s="49"/>
      <c r="DX228" s="49"/>
      <c r="DY228" s="49"/>
      <c r="DZ228" s="49"/>
      <c r="EA228" s="49"/>
      <c r="EB228" s="49"/>
      <c r="EC228" s="49"/>
      <c r="ED228" s="49"/>
      <c r="EE228" s="49"/>
      <c r="EF228" s="49"/>
      <c r="EG228" s="49"/>
      <c r="EH228" s="49"/>
      <c r="EI228" s="49"/>
      <c r="EJ228" s="49"/>
      <c r="EK228" s="49"/>
      <c r="EL228" s="49"/>
      <c r="EM228" s="49"/>
      <c r="EN228" s="49"/>
      <c r="EO228" s="49"/>
      <c r="EP228" s="49"/>
      <c r="EQ228" s="49"/>
      <c r="ER228" s="49"/>
      <c r="ES228" s="49"/>
      <c r="ET228" s="49"/>
      <c r="EU228" s="49"/>
      <c r="EV228" s="49"/>
      <c r="EW228" s="49"/>
      <c r="EX228" s="49"/>
      <c r="EY228" s="49"/>
      <c r="EZ228" s="49"/>
      <c r="FA228" s="49"/>
      <c r="FB228" s="49"/>
      <c r="FC228" s="49"/>
      <c r="FD228" s="49"/>
      <c r="FE228" s="49"/>
      <c r="FF228" s="49"/>
      <c r="FG228" s="49"/>
      <c r="FH228" s="49"/>
      <c r="FI228" s="49"/>
      <c r="FJ228" s="49"/>
      <c r="FK228" s="49"/>
      <c r="FL228" s="49"/>
      <c r="FM228" s="49"/>
      <c r="FN228" s="49"/>
      <c r="FO228" s="49"/>
      <c r="FP228" s="49"/>
      <c r="FQ228" s="49"/>
      <c r="FR228" s="49"/>
      <c r="FS228" s="49"/>
      <c r="FT228" s="49"/>
      <c r="FU228" s="49"/>
      <c r="FV228" s="49"/>
      <c r="FW228" s="49"/>
      <c r="FX228" s="49"/>
      <c r="FY228" s="49"/>
      <c r="FZ228" s="49"/>
      <c r="GA228" s="49"/>
      <c r="GB228" s="49"/>
      <c r="GC228" s="49"/>
      <c r="GD228" s="49"/>
      <c r="GE228" s="49"/>
      <c r="GF228" s="49"/>
      <c r="GG228" s="49"/>
      <c r="GH228" s="49"/>
      <c r="GI228" s="49"/>
      <c r="GJ228" s="49"/>
      <c r="GK228" s="49"/>
      <c r="GL228" s="49"/>
      <c r="GM228" s="49"/>
      <c r="GN228" s="49"/>
      <c r="GO228" s="49"/>
      <c r="GP228" s="49"/>
      <c r="GQ228" s="49"/>
      <c r="GR228" s="49"/>
      <c r="GS228" s="49"/>
      <c r="GT228" s="49"/>
      <c r="GU228" s="49"/>
      <c r="GV228" s="49"/>
      <c r="GW228" s="49"/>
      <c r="GX228" s="49"/>
      <c r="GY228" s="49"/>
      <c r="GZ228" s="49"/>
      <c r="HA228" s="49"/>
      <c r="HB228" s="49"/>
      <c r="HC228" s="49"/>
      <c r="HD228" s="49"/>
      <c r="HE228" s="49"/>
      <c r="HF228" s="49"/>
      <c r="HG228" s="49"/>
      <c r="HH228" s="49"/>
      <c r="HI228" s="49"/>
      <c r="HJ228" s="49"/>
      <c r="HK228" s="49"/>
      <c r="HL228" s="49"/>
      <c r="HM228" s="49"/>
      <c r="HN228" s="49"/>
      <c r="HO228" s="49"/>
      <c r="HP228" s="49"/>
      <c r="HQ228" s="49"/>
      <c r="HR228" s="49"/>
      <c r="HS228" s="49"/>
    </row>
    <row r="229" spans="1:227" s="15" customFormat="1" ht="12">
      <c r="A229" s="96" t="s">
        <v>315</v>
      </c>
      <c r="D229" s="15" t="s">
        <v>12</v>
      </c>
      <c r="G229" s="230"/>
      <c r="H229" s="121" t="s">
        <v>467</v>
      </c>
      <c r="I229" s="477"/>
      <c r="J229" s="477"/>
      <c r="K229" s="477"/>
      <c r="L229" s="475"/>
      <c r="M229" s="111"/>
      <c r="N229" s="111"/>
      <c r="O229" s="111"/>
      <c r="P229" s="111"/>
      <c r="Q229" s="111"/>
      <c r="R229" s="111"/>
      <c r="S229" s="111"/>
      <c r="T229" s="111"/>
      <c r="U229" s="111"/>
      <c r="V229" s="111"/>
      <c r="W229" s="111"/>
      <c r="X229" s="111"/>
      <c r="Y229" s="111"/>
      <c r="Z229" s="111"/>
      <c r="AA229" s="111"/>
      <c r="AB229" s="111"/>
      <c r="AC229" s="111"/>
      <c r="AD229" s="111"/>
      <c r="AE229" s="111"/>
      <c r="AF229" s="111"/>
      <c r="AG229" s="111"/>
      <c r="AH229" s="111"/>
      <c r="AI229" s="111"/>
      <c r="AJ229" s="111"/>
      <c r="AK229" s="111"/>
      <c r="AL229" s="111"/>
      <c r="AM229" s="111"/>
      <c r="AN229" s="111"/>
      <c r="AO229" s="111"/>
      <c r="AP229" s="111"/>
      <c r="AQ229" s="111"/>
      <c r="AR229" s="111"/>
      <c r="AS229" s="111"/>
      <c r="AT229" s="111"/>
      <c r="AU229" s="111"/>
      <c r="AV229" s="111"/>
      <c r="AW229" s="111"/>
      <c r="AX229" s="111"/>
      <c r="AY229" s="111"/>
      <c r="AZ229" s="111"/>
      <c r="BA229" s="111"/>
      <c r="BB229" s="111"/>
      <c r="BC229" s="111"/>
      <c r="BD229" s="111"/>
      <c r="BE229" s="111"/>
      <c r="BF229" s="111"/>
      <c r="BG229" s="111"/>
      <c r="BH229" s="111"/>
      <c r="BI229" s="111"/>
      <c r="BJ229" s="111"/>
      <c r="BK229" s="111"/>
      <c r="BL229" s="111"/>
      <c r="BM229" s="111"/>
      <c r="BN229" s="111"/>
      <c r="BO229" s="111"/>
      <c r="BP229" s="111"/>
      <c r="BQ229" s="111"/>
      <c r="BR229" s="111"/>
      <c r="BS229" s="111"/>
      <c r="BT229" s="111"/>
      <c r="BU229" s="111"/>
      <c r="BV229" s="111"/>
      <c r="BW229" s="111"/>
      <c r="BX229" s="111"/>
      <c r="BY229" s="111"/>
      <c r="BZ229" s="111"/>
      <c r="CA229" s="111"/>
      <c r="CB229" s="111"/>
      <c r="CC229" s="49"/>
      <c r="CD229" s="49"/>
      <c r="CE229" s="49"/>
      <c r="CF229" s="49"/>
      <c r="CG229" s="49"/>
      <c r="CH229" s="49"/>
      <c r="CI229" s="49"/>
      <c r="CJ229" s="49"/>
      <c r="CK229" s="49"/>
      <c r="CL229" s="49"/>
      <c r="CM229" s="49"/>
      <c r="CN229" s="49"/>
      <c r="CO229" s="49"/>
      <c r="CP229" s="49"/>
      <c r="CQ229" s="49"/>
      <c r="CR229" s="49"/>
      <c r="CS229" s="49"/>
      <c r="CT229" s="49"/>
      <c r="CU229" s="49"/>
      <c r="CV229" s="49"/>
      <c r="CW229" s="49"/>
      <c r="CX229" s="49"/>
      <c r="CY229" s="49"/>
      <c r="CZ229" s="49"/>
      <c r="DA229" s="49"/>
      <c r="DB229" s="49"/>
      <c r="DC229" s="49"/>
      <c r="DD229" s="49"/>
      <c r="DE229" s="49"/>
      <c r="DF229" s="49"/>
      <c r="DG229" s="49"/>
      <c r="DH229" s="49"/>
      <c r="DI229" s="49"/>
      <c r="DJ229" s="49"/>
      <c r="DK229" s="49"/>
      <c r="DL229" s="49"/>
      <c r="DM229" s="49"/>
      <c r="DN229" s="49"/>
      <c r="DO229" s="49"/>
      <c r="DP229" s="49"/>
      <c r="DQ229" s="49"/>
      <c r="DR229" s="49"/>
      <c r="DS229" s="49"/>
      <c r="DT229" s="49"/>
      <c r="DU229" s="49"/>
      <c r="DV229" s="49"/>
      <c r="DW229" s="49"/>
      <c r="DX229" s="49"/>
      <c r="DY229" s="49"/>
      <c r="DZ229" s="49"/>
      <c r="EA229" s="49"/>
      <c r="EB229" s="49"/>
      <c r="EC229" s="49"/>
      <c r="ED229" s="49"/>
      <c r="EE229" s="49"/>
      <c r="EF229" s="49"/>
      <c r="EG229" s="49"/>
      <c r="EH229" s="49"/>
      <c r="EI229" s="49"/>
      <c r="EJ229" s="49"/>
      <c r="EK229" s="49"/>
      <c r="EL229" s="49"/>
      <c r="EM229" s="49"/>
      <c r="EN229" s="49"/>
      <c r="EO229" s="49"/>
      <c r="EP229" s="49"/>
      <c r="EQ229" s="49"/>
      <c r="ER229" s="49"/>
      <c r="ES229" s="49"/>
      <c r="ET229" s="49"/>
      <c r="EU229" s="49"/>
      <c r="EV229" s="49"/>
      <c r="EW229" s="49"/>
      <c r="EX229" s="49"/>
      <c r="EY229" s="49"/>
      <c r="EZ229" s="49"/>
      <c r="FA229" s="49"/>
      <c r="FB229" s="49"/>
      <c r="FC229" s="49"/>
      <c r="FD229" s="49"/>
      <c r="FE229" s="49"/>
      <c r="FF229" s="49"/>
      <c r="FG229" s="49"/>
      <c r="FH229" s="49"/>
      <c r="FI229" s="49"/>
      <c r="FJ229" s="49"/>
      <c r="FK229" s="49"/>
      <c r="FL229" s="49"/>
      <c r="FM229" s="49"/>
      <c r="FN229" s="49"/>
      <c r="FO229" s="49"/>
      <c r="FP229" s="49"/>
      <c r="FQ229" s="49"/>
      <c r="FR229" s="49"/>
      <c r="FS229" s="49"/>
      <c r="FT229" s="49"/>
      <c r="FU229" s="49"/>
      <c r="FV229" s="49"/>
      <c r="FW229" s="49"/>
      <c r="FX229" s="49"/>
      <c r="FY229" s="49"/>
      <c r="FZ229" s="49"/>
      <c r="GA229" s="49"/>
      <c r="GB229" s="49"/>
      <c r="GC229" s="49"/>
      <c r="GD229" s="49"/>
      <c r="GE229" s="49"/>
      <c r="GF229" s="49"/>
      <c r="GG229" s="49"/>
      <c r="GH229" s="49"/>
      <c r="GI229" s="49"/>
      <c r="GJ229" s="49"/>
      <c r="GK229" s="49"/>
      <c r="GL229" s="49"/>
      <c r="GM229" s="49"/>
      <c r="GN229" s="49"/>
      <c r="GO229" s="49"/>
      <c r="GP229" s="49"/>
      <c r="GQ229" s="49"/>
      <c r="GR229" s="49"/>
      <c r="GS229" s="49"/>
      <c r="GT229" s="49"/>
      <c r="GU229" s="49"/>
      <c r="GV229" s="49"/>
      <c r="GW229" s="49"/>
      <c r="GX229" s="49"/>
      <c r="GY229" s="49"/>
      <c r="GZ229" s="49"/>
      <c r="HA229" s="49"/>
      <c r="HB229" s="49"/>
      <c r="HC229" s="49"/>
      <c r="HD229" s="49"/>
      <c r="HE229" s="49"/>
      <c r="HF229" s="49"/>
      <c r="HG229" s="49"/>
      <c r="HH229" s="49"/>
      <c r="HI229" s="49"/>
      <c r="HJ229" s="49"/>
      <c r="HK229" s="49"/>
      <c r="HL229" s="49"/>
      <c r="HM229" s="49"/>
      <c r="HN229" s="49"/>
      <c r="HO229" s="49"/>
      <c r="HP229" s="49"/>
      <c r="HQ229" s="49"/>
      <c r="HR229" s="49"/>
      <c r="HS229" s="49"/>
    </row>
    <row r="230" spans="1:227" s="15" customFormat="1" ht="12">
      <c r="A230" s="96" t="s">
        <v>316</v>
      </c>
      <c r="D230" s="15" t="s">
        <v>13</v>
      </c>
      <c r="G230" s="230"/>
      <c r="H230" s="127"/>
      <c r="I230" s="477"/>
      <c r="J230" s="477"/>
      <c r="K230" s="477"/>
      <c r="L230" s="475"/>
      <c r="M230" s="111"/>
      <c r="N230" s="111"/>
      <c r="O230" s="111"/>
      <c r="P230" s="111"/>
      <c r="Q230" s="111"/>
      <c r="R230" s="111"/>
      <c r="S230" s="111"/>
      <c r="T230" s="111"/>
      <c r="U230" s="111"/>
      <c r="V230" s="111"/>
      <c r="W230" s="111"/>
      <c r="X230" s="111"/>
      <c r="Y230" s="111"/>
      <c r="Z230" s="111"/>
      <c r="AA230" s="111"/>
      <c r="AB230" s="111"/>
      <c r="AC230" s="111"/>
      <c r="AD230" s="111"/>
      <c r="AE230" s="111"/>
      <c r="AF230" s="111"/>
      <c r="AG230" s="111"/>
      <c r="AH230" s="111"/>
      <c r="AI230" s="111"/>
      <c r="AJ230" s="111"/>
      <c r="AK230" s="111"/>
      <c r="AL230" s="111"/>
      <c r="AM230" s="111"/>
      <c r="AN230" s="111"/>
      <c r="AO230" s="111"/>
      <c r="AP230" s="111"/>
      <c r="AQ230" s="111"/>
      <c r="AR230" s="111"/>
      <c r="AS230" s="111"/>
      <c r="AT230" s="111"/>
      <c r="AU230" s="111"/>
      <c r="AV230" s="111"/>
      <c r="AW230" s="111"/>
      <c r="AX230" s="111"/>
      <c r="AY230" s="111"/>
      <c r="AZ230" s="111"/>
      <c r="BA230" s="111"/>
      <c r="BB230" s="111"/>
      <c r="BC230" s="111"/>
      <c r="BD230" s="111"/>
      <c r="BE230" s="111"/>
      <c r="BF230" s="111"/>
      <c r="BG230" s="111"/>
      <c r="BH230" s="111"/>
      <c r="BI230" s="111"/>
      <c r="BJ230" s="111"/>
      <c r="BK230" s="111"/>
      <c r="BL230" s="111"/>
      <c r="BM230" s="111"/>
      <c r="BN230" s="111"/>
      <c r="BO230" s="111"/>
      <c r="BP230" s="111"/>
      <c r="BQ230" s="111"/>
      <c r="BR230" s="111"/>
      <c r="BS230" s="111"/>
      <c r="BT230" s="111"/>
      <c r="BU230" s="111"/>
      <c r="BV230" s="111"/>
      <c r="BW230" s="111"/>
      <c r="BX230" s="111"/>
      <c r="BY230" s="111"/>
      <c r="BZ230" s="111"/>
      <c r="CA230" s="111"/>
      <c r="CB230" s="111"/>
      <c r="CC230" s="49"/>
      <c r="CD230" s="49"/>
      <c r="CE230" s="49"/>
      <c r="CF230" s="49"/>
      <c r="CG230" s="49"/>
      <c r="CH230" s="49"/>
      <c r="CI230" s="49"/>
      <c r="CJ230" s="49"/>
      <c r="CK230" s="49"/>
      <c r="CL230" s="49"/>
      <c r="CM230" s="49"/>
      <c r="CN230" s="49"/>
      <c r="CO230" s="49"/>
      <c r="CP230" s="49"/>
      <c r="CQ230" s="49"/>
      <c r="CR230" s="49"/>
      <c r="CS230" s="49"/>
      <c r="CT230" s="49"/>
      <c r="CU230" s="49"/>
      <c r="CV230" s="49"/>
      <c r="CW230" s="49"/>
      <c r="CX230" s="49"/>
      <c r="CY230" s="49"/>
      <c r="CZ230" s="49"/>
      <c r="DA230" s="49"/>
      <c r="DB230" s="49"/>
      <c r="DC230" s="49"/>
      <c r="DD230" s="49"/>
      <c r="DE230" s="49"/>
      <c r="DF230" s="49"/>
      <c r="DG230" s="49"/>
      <c r="DH230" s="49"/>
      <c r="DI230" s="49"/>
      <c r="DJ230" s="49"/>
      <c r="DK230" s="49"/>
      <c r="DL230" s="49"/>
      <c r="DM230" s="49"/>
      <c r="DN230" s="49"/>
      <c r="DO230" s="49"/>
      <c r="DP230" s="49"/>
      <c r="DQ230" s="49"/>
      <c r="DR230" s="49"/>
      <c r="DS230" s="49"/>
      <c r="DT230" s="49"/>
      <c r="DU230" s="49"/>
      <c r="DV230" s="49"/>
      <c r="DW230" s="49"/>
      <c r="DX230" s="49"/>
      <c r="DY230" s="49"/>
      <c r="DZ230" s="49"/>
      <c r="EA230" s="49"/>
      <c r="EB230" s="49"/>
      <c r="EC230" s="49"/>
      <c r="ED230" s="49"/>
      <c r="EE230" s="49"/>
      <c r="EF230" s="49"/>
      <c r="EG230" s="49"/>
      <c r="EH230" s="49"/>
      <c r="EI230" s="49"/>
      <c r="EJ230" s="49"/>
      <c r="EK230" s="49"/>
      <c r="EL230" s="49"/>
      <c r="EM230" s="49"/>
      <c r="EN230" s="49"/>
      <c r="EO230" s="49"/>
      <c r="EP230" s="49"/>
      <c r="EQ230" s="49"/>
      <c r="ER230" s="49"/>
      <c r="ES230" s="49"/>
      <c r="ET230" s="49"/>
      <c r="EU230" s="49"/>
      <c r="EV230" s="49"/>
      <c r="EW230" s="49"/>
      <c r="EX230" s="49"/>
      <c r="EY230" s="49"/>
      <c r="EZ230" s="49"/>
      <c r="FA230" s="49"/>
      <c r="FB230" s="49"/>
      <c r="FC230" s="49"/>
      <c r="FD230" s="49"/>
      <c r="FE230" s="49"/>
      <c r="FF230" s="49"/>
      <c r="FG230" s="49"/>
      <c r="FH230" s="49"/>
      <c r="FI230" s="49"/>
      <c r="FJ230" s="49"/>
      <c r="FK230" s="49"/>
      <c r="FL230" s="49"/>
      <c r="FM230" s="49"/>
      <c r="FN230" s="49"/>
      <c r="FO230" s="49"/>
      <c r="FP230" s="49"/>
      <c r="FQ230" s="49"/>
      <c r="FR230" s="49"/>
      <c r="FS230" s="49"/>
      <c r="FT230" s="49"/>
      <c r="FU230" s="49"/>
      <c r="FV230" s="49"/>
      <c r="FW230" s="49"/>
      <c r="FX230" s="49"/>
      <c r="FY230" s="49"/>
      <c r="FZ230" s="49"/>
      <c r="GA230" s="49"/>
      <c r="GB230" s="49"/>
      <c r="GC230" s="49"/>
      <c r="GD230" s="49"/>
      <c r="GE230" s="49"/>
      <c r="GF230" s="49"/>
      <c r="GG230" s="49"/>
      <c r="GH230" s="49"/>
      <c r="GI230" s="49"/>
      <c r="GJ230" s="49"/>
      <c r="GK230" s="49"/>
      <c r="GL230" s="49"/>
      <c r="GM230" s="49"/>
      <c r="GN230" s="49"/>
      <c r="GO230" s="49"/>
      <c r="GP230" s="49"/>
      <c r="GQ230" s="49"/>
      <c r="GR230" s="49"/>
      <c r="GS230" s="49"/>
      <c r="GT230" s="49"/>
      <c r="GU230" s="49"/>
      <c r="GV230" s="49"/>
      <c r="GW230" s="49"/>
      <c r="GX230" s="49"/>
      <c r="GY230" s="49"/>
      <c r="GZ230" s="49"/>
      <c r="HA230" s="49"/>
      <c r="HB230" s="49"/>
      <c r="HC230" s="49"/>
      <c r="HD230" s="49"/>
      <c r="HE230" s="49"/>
      <c r="HF230" s="49"/>
      <c r="HG230" s="49"/>
      <c r="HH230" s="49"/>
      <c r="HI230" s="49"/>
      <c r="HJ230" s="49"/>
      <c r="HK230" s="49"/>
      <c r="HL230" s="49"/>
      <c r="HM230" s="49"/>
      <c r="HN230" s="49"/>
      <c r="HO230" s="49"/>
      <c r="HP230" s="49"/>
      <c r="HQ230" s="49"/>
      <c r="HR230" s="49"/>
      <c r="HS230" s="49"/>
    </row>
    <row r="231" spans="1:227" s="15" customFormat="1" ht="12">
      <c r="A231" s="96" t="s">
        <v>317</v>
      </c>
      <c r="D231" s="15" t="s">
        <v>14</v>
      </c>
      <c r="G231" s="230"/>
      <c r="H231" s="127" t="s">
        <v>468</v>
      </c>
      <c r="I231" s="477"/>
      <c r="J231" s="477"/>
      <c r="K231" s="477"/>
      <c r="L231" s="475"/>
      <c r="M231" s="111"/>
      <c r="N231" s="111"/>
      <c r="O231" s="111"/>
      <c r="P231" s="111"/>
      <c r="Q231" s="111"/>
      <c r="R231" s="111"/>
      <c r="S231" s="111"/>
      <c r="T231" s="111"/>
      <c r="U231" s="111"/>
      <c r="V231" s="111"/>
      <c r="W231" s="111"/>
      <c r="X231" s="111"/>
      <c r="Y231" s="111"/>
      <c r="Z231" s="111"/>
      <c r="AA231" s="111"/>
      <c r="AB231" s="111"/>
      <c r="AC231" s="111"/>
      <c r="AD231" s="111"/>
      <c r="AE231" s="111"/>
      <c r="AF231" s="111"/>
      <c r="AG231" s="111"/>
      <c r="AH231" s="111"/>
      <c r="AI231" s="111"/>
      <c r="AJ231" s="111"/>
      <c r="AK231" s="111"/>
      <c r="AL231" s="111"/>
      <c r="AM231" s="111"/>
      <c r="AN231" s="111"/>
      <c r="AO231" s="111"/>
      <c r="AP231" s="111"/>
      <c r="AQ231" s="111"/>
      <c r="AR231" s="111"/>
      <c r="AS231" s="111"/>
      <c r="AT231" s="111"/>
      <c r="AU231" s="111"/>
      <c r="AV231" s="111"/>
      <c r="AW231" s="111"/>
      <c r="AX231" s="111"/>
      <c r="AY231" s="111"/>
      <c r="AZ231" s="111"/>
      <c r="BA231" s="111"/>
      <c r="BB231" s="111"/>
      <c r="BC231" s="111"/>
      <c r="BD231" s="111"/>
      <c r="BE231" s="111"/>
      <c r="BF231" s="111"/>
      <c r="BG231" s="111"/>
      <c r="BH231" s="111"/>
      <c r="BI231" s="111"/>
      <c r="BJ231" s="111"/>
      <c r="BK231" s="111"/>
      <c r="BL231" s="111"/>
      <c r="BM231" s="111"/>
      <c r="BN231" s="111"/>
      <c r="BO231" s="111"/>
      <c r="BP231" s="111"/>
      <c r="BQ231" s="111"/>
      <c r="BR231" s="111"/>
      <c r="BS231" s="111"/>
      <c r="BT231" s="111"/>
      <c r="BU231" s="111"/>
      <c r="BV231" s="111"/>
      <c r="BW231" s="111"/>
      <c r="BX231" s="111"/>
      <c r="BY231" s="111"/>
      <c r="BZ231" s="111"/>
      <c r="CA231" s="111"/>
      <c r="CB231" s="111"/>
      <c r="CC231" s="49"/>
      <c r="CD231" s="49"/>
      <c r="CE231" s="49"/>
      <c r="CF231" s="49"/>
      <c r="CG231" s="49"/>
      <c r="CH231" s="49"/>
      <c r="CI231" s="49"/>
      <c r="CJ231" s="49"/>
      <c r="CK231" s="49"/>
      <c r="CL231" s="49"/>
      <c r="CM231" s="49"/>
      <c r="CN231" s="49"/>
      <c r="CO231" s="49"/>
      <c r="CP231" s="49"/>
      <c r="CQ231" s="49"/>
      <c r="CR231" s="49"/>
      <c r="CS231" s="49"/>
      <c r="CT231" s="49"/>
      <c r="CU231" s="49"/>
      <c r="CV231" s="49"/>
      <c r="CW231" s="49"/>
      <c r="CX231" s="49"/>
      <c r="CY231" s="49"/>
      <c r="CZ231" s="49"/>
      <c r="DA231" s="49"/>
      <c r="DB231" s="49"/>
      <c r="DC231" s="49"/>
      <c r="DD231" s="49"/>
      <c r="DE231" s="49"/>
      <c r="DF231" s="49"/>
      <c r="DG231" s="49"/>
      <c r="DH231" s="49"/>
      <c r="DI231" s="49"/>
      <c r="DJ231" s="49"/>
      <c r="DK231" s="49"/>
      <c r="DL231" s="49"/>
      <c r="DM231" s="49"/>
      <c r="DN231" s="49"/>
      <c r="DO231" s="49"/>
      <c r="DP231" s="49"/>
      <c r="DQ231" s="49"/>
      <c r="DR231" s="49"/>
      <c r="DS231" s="49"/>
      <c r="DT231" s="49"/>
      <c r="DU231" s="49"/>
      <c r="DV231" s="49"/>
      <c r="DW231" s="49"/>
      <c r="DX231" s="49"/>
      <c r="DY231" s="49"/>
      <c r="DZ231" s="49"/>
      <c r="EA231" s="49"/>
      <c r="EB231" s="49"/>
      <c r="EC231" s="49"/>
      <c r="ED231" s="49"/>
      <c r="EE231" s="49"/>
      <c r="EF231" s="49"/>
      <c r="EG231" s="49"/>
      <c r="EH231" s="49"/>
      <c r="EI231" s="49"/>
      <c r="EJ231" s="49"/>
      <c r="EK231" s="49"/>
      <c r="EL231" s="49"/>
      <c r="EM231" s="49"/>
      <c r="EN231" s="49"/>
      <c r="EO231" s="49"/>
      <c r="EP231" s="49"/>
      <c r="EQ231" s="49"/>
      <c r="ER231" s="49"/>
      <c r="ES231" s="49"/>
      <c r="ET231" s="49"/>
      <c r="EU231" s="49"/>
      <c r="EV231" s="49"/>
      <c r="EW231" s="49"/>
      <c r="EX231" s="49"/>
      <c r="EY231" s="49"/>
      <c r="EZ231" s="49"/>
      <c r="FA231" s="49"/>
      <c r="FB231" s="49"/>
      <c r="FC231" s="49"/>
      <c r="FD231" s="49"/>
      <c r="FE231" s="49"/>
      <c r="FF231" s="49"/>
      <c r="FG231" s="49"/>
      <c r="FH231" s="49"/>
      <c r="FI231" s="49"/>
      <c r="FJ231" s="49"/>
      <c r="FK231" s="49"/>
      <c r="FL231" s="49"/>
      <c r="FM231" s="49"/>
      <c r="FN231" s="49"/>
      <c r="FO231" s="49"/>
      <c r="FP231" s="49"/>
      <c r="FQ231" s="49"/>
      <c r="FR231" s="49"/>
      <c r="FS231" s="49"/>
      <c r="FT231" s="49"/>
      <c r="FU231" s="49"/>
      <c r="FV231" s="49"/>
      <c r="FW231" s="49"/>
      <c r="FX231" s="49"/>
      <c r="FY231" s="49"/>
      <c r="FZ231" s="49"/>
      <c r="GA231" s="49"/>
      <c r="GB231" s="49"/>
      <c r="GC231" s="49"/>
      <c r="GD231" s="49"/>
      <c r="GE231" s="49"/>
      <c r="GF231" s="49"/>
      <c r="GG231" s="49"/>
      <c r="GH231" s="49"/>
      <c r="GI231" s="49"/>
      <c r="GJ231" s="49"/>
      <c r="GK231" s="49"/>
      <c r="GL231" s="49"/>
      <c r="GM231" s="49"/>
      <c r="GN231" s="49"/>
      <c r="GO231" s="49"/>
      <c r="GP231" s="49"/>
      <c r="GQ231" s="49"/>
      <c r="GR231" s="49"/>
      <c r="GS231" s="49"/>
      <c r="GT231" s="49"/>
      <c r="GU231" s="49"/>
      <c r="GV231" s="49"/>
      <c r="GW231" s="49"/>
      <c r="GX231" s="49"/>
      <c r="GY231" s="49"/>
      <c r="GZ231" s="49"/>
      <c r="HA231" s="49"/>
      <c r="HB231" s="49"/>
      <c r="HC231" s="49"/>
      <c r="HD231" s="49"/>
      <c r="HE231" s="49"/>
      <c r="HF231" s="49"/>
      <c r="HG231" s="49"/>
      <c r="HH231" s="49"/>
      <c r="HI231" s="49"/>
      <c r="HJ231" s="49"/>
      <c r="HK231" s="49"/>
      <c r="HL231" s="49"/>
      <c r="HM231" s="49"/>
      <c r="HN231" s="49"/>
      <c r="HO231" s="49"/>
      <c r="HP231" s="49"/>
      <c r="HQ231" s="49"/>
      <c r="HR231" s="49"/>
      <c r="HS231" s="49"/>
    </row>
    <row r="232" spans="1:227" s="15" customFormat="1" ht="12">
      <c r="A232" s="96"/>
      <c r="C232" s="15" t="s">
        <v>15</v>
      </c>
      <c r="G232" s="230"/>
      <c r="H232" s="127"/>
      <c r="I232" s="477"/>
      <c r="J232" s="477"/>
      <c r="K232" s="477"/>
      <c r="L232" s="475"/>
      <c r="M232" s="111"/>
      <c r="N232" s="111"/>
      <c r="O232" s="111"/>
      <c r="P232" s="111"/>
      <c r="Q232" s="111"/>
      <c r="R232" s="111"/>
      <c r="S232" s="111"/>
      <c r="T232" s="111"/>
      <c r="U232" s="111"/>
      <c r="V232" s="111"/>
      <c r="W232" s="111"/>
      <c r="X232" s="111"/>
      <c r="Y232" s="111"/>
      <c r="Z232" s="111"/>
      <c r="AA232" s="111"/>
      <c r="AB232" s="111"/>
      <c r="AC232" s="111"/>
      <c r="AD232" s="111"/>
      <c r="AE232" s="111"/>
      <c r="AF232" s="111"/>
      <c r="AG232" s="111"/>
      <c r="AH232" s="111"/>
      <c r="AI232" s="111"/>
      <c r="AJ232" s="111"/>
      <c r="AK232" s="111"/>
      <c r="AL232" s="111"/>
      <c r="AM232" s="111"/>
      <c r="AN232" s="111"/>
      <c r="AO232" s="111"/>
      <c r="AP232" s="111"/>
      <c r="AQ232" s="111"/>
      <c r="AR232" s="111"/>
      <c r="AS232" s="111"/>
      <c r="AT232" s="111"/>
      <c r="AU232" s="111"/>
      <c r="AV232" s="111"/>
      <c r="AW232" s="111"/>
      <c r="AX232" s="111"/>
      <c r="AY232" s="111"/>
      <c r="AZ232" s="111"/>
      <c r="BA232" s="111"/>
      <c r="BB232" s="111"/>
      <c r="BC232" s="111"/>
      <c r="BD232" s="111"/>
      <c r="BE232" s="111"/>
      <c r="BF232" s="111"/>
      <c r="BG232" s="111"/>
      <c r="BH232" s="111"/>
      <c r="BI232" s="111"/>
      <c r="BJ232" s="111"/>
      <c r="BK232" s="111"/>
      <c r="BL232" s="111"/>
      <c r="BM232" s="111"/>
      <c r="BN232" s="111"/>
      <c r="BO232" s="111"/>
      <c r="BP232" s="111"/>
      <c r="BQ232" s="111"/>
      <c r="BR232" s="111"/>
      <c r="BS232" s="111"/>
      <c r="BT232" s="111"/>
      <c r="BU232" s="111"/>
      <c r="BV232" s="111"/>
      <c r="BW232" s="111"/>
      <c r="BX232" s="111"/>
      <c r="BY232" s="111"/>
      <c r="BZ232" s="111"/>
      <c r="CA232" s="111"/>
      <c r="CB232" s="111"/>
      <c r="CC232" s="49"/>
      <c r="CD232" s="49"/>
      <c r="CE232" s="49"/>
      <c r="CF232" s="49"/>
      <c r="CG232" s="49"/>
      <c r="CH232" s="49"/>
      <c r="CI232" s="49"/>
      <c r="CJ232" s="49"/>
      <c r="CK232" s="49"/>
      <c r="CL232" s="49"/>
      <c r="CM232" s="49"/>
      <c r="CN232" s="49"/>
      <c r="CO232" s="49"/>
      <c r="CP232" s="49"/>
      <c r="CQ232" s="49"/>
      <c r="CR232" s="49"/>
      <c r="CS232" s="49"/>
      <c r="CT232" s="49"/>
      <c r="CU232" s="49"/>
      <c r="CV232" s="49"/>
      <c r="CW232" s="49"/>
      <c r="CX232" s="49"/>
      <c r="CY232" s="49"/>
      <c r="CZ232" s="49"/>
      <c r="DA232" s="49"/>
      <c r="DB232" s="49"/>
      <c r="DC232" s="49"/>
      <c r="DD232" s="49"/>
      <c r="DE232" s="49"/>
      <c r="DF232" s="49"/>
      <c r="DG232" s="49"/>
      <c r="DH232" s="49"/>
      <c r="DI232" s="49"/>
      <c r="DJ232" s="49"/>
      <c r="DK232" s="49"/>
      <c r="DL232" s="49"/>
      <c r="DM232" s="49"/>
      <c r="DN232" s="49"/>
      <c r="DO232" s="49"/>
      <c r="DP232" s="49"/>
      <c r="DQ232" s="49"/>
      <c r="DR232" s="49"/>
      <c r="DS232" s="49"/>
      <c r="DT232" s="49"/>
      <c r="DU232" s="49"/>
      <c r="DV232" s="49"/>
      <c r="DW232" s="49"/>
      <c r="DX232" s="49"/>
      <c r="DY232" s="49"/>
      <c r="DZ232" s="49"/>
      <c r="EA232" s="49"/>
      <c r="EB232" s="49"/>
      <c r="EC232" s="49"/>
      <c r="ED232" s="49"/>
      <c r="EE232" s="49"/>
      <c r="EF232" s="49"/>
      <c r="EG232" s="49"/>
      <c r="EH232" s="49"/>
      <c r="EI232" s="49"/>
      <c r="EJ232" s="49"/>
      <c r="EK232" s="49"/>
      <c r="EL232" s="49"/>
      <c r="EM232" s="49"/>
      <c r="EN232" s="49"/>
      <c r="EO232" s="49"/>
      <c r="EP232" s="49"/>
      <c r="EQ232" s="49"/>
      <c r="ER232" s="49"/>
      <c r="ES232" s="49"/>
      <c r="ET232" s="49"/>
      <c r="EU232" s="49"/>
      <c r="EV232" s="49"/>
      <c r="EW232" s="49"/>
      <c r="EX232" s="49"/>
      <c r="EY232" s="49"/>
      <c r="EZ232" s="49"/>
      <c r="FA232" s="49"/>
      <c r="FB232" s="49"/>
      <c r="FC232" s="49"/>
      <c r="FD232" s="49"/>
      <c r="FE232" s="49"/>
      <c r="FF232" s="49"/>
      <c r="FG232" s="49"/>
      <c r="FH232" s="49"/>
      <c r="FI232" s="49"/>
      <c r="FJ232" s="49"/>
      <c r="FK232" s="49"/>
      <c r="FL232" s="49"/>
      <c r="FM232" s="49"/>
      <c r="FN232" s="49"/>
      <c r="FO232" s="49"/>
      <c r="FP232" s="49"/>
      <c r="FQ232" s="49"/>
      <c r="FR232" s="49"/>
      <c r="FS232" s="49"/>
      <c r="FT232" s="49"/>
      <c r="FU232" s="49"/>
      <c r="FV232" s="49"/>
      <c r="FW232" s="49"/>
      <c r="FX232" s="49"/>
      <c r="FY232" s="49"/>
      <c r="FZ232" s="49"/>
      <c r="GA232" s="49"/>
      <c r="GB232" s="49"/>
      <c r="GC232" s="49"/>
      <c r="GD232" s="49"/>
      <c r="GE232" s="49"/>
      <c r="GF232" s="49"/>
      <c r="GG232" s="49"/>
      <c r="GH232" s="49"/>
      <c r="GI232" s="49"/>
      <c r="GJ232" s="49"/>
      <c r="GK232" s="49"/>
      <c r="GL232" s="49"/>
      <c r="GM232" s="49"/>
      <c r="GN232" s="49"/>
      <c r="GO232" s="49"/>
      <c r="GP232" s="49"/>
      <c r="GQ232" s="49"/>
      <c r="GR232" s="49"/>
      <c r="GS232" s="49"/>
      <c r="GT232" s="49"/>
      <c r="GU232" s="49"/>
      <c r="GV232" s="49"/>
      <c r="GW232" s="49"/>
      <c r="GX232" s="49"/>
      <c r="GY232" s="49"/>
      <c r="GZ232" s="49"/>
      <c r="HA232" s="49"/>
      <c r="HB232" s="49"/>
      <c r="HC232" s="49"/>
      <c r="HD232" s="49"/>
      <c r="HE232" s="49"/>
      <c r="HF232" s="49"/>
      <c r="HG232" s="49"/>
      <c r="HH232" s="49"/>
      <c r="HI232" s="49"/>
      <c r="HJ232" s="49"/>
      <c r="HK232" s="49"/>
      <c r="HL232" s="49"/>
      <c r="HM232" s="49"/>
      <c r="HN232" s="49"/>
      <c r="HO232" s="49"/>
      <c r="HP232" s="49"/>
      <c r="HQ232" s="49"/>
      <c r="HR232" s="49"/>
      <c r="HS232" s="49"/>
    </row>
    <row r="233" spans="1:227" s="15" customFormat="1" ht="12">
      <c r="A233" s="96" t="s">
        <v>318</v>
      </c>
      <c r="D233" s="15" t="s">
        <v>11</v>
      </c>
      <c r="G233" s="230"/>
      <c r="H233" s="127"/>
      <c r="I233" s="477"/>
      <c r="J233" s="477"/>
      <c r="K233" s="477"/>
      <c r="L233" s="475"/>
      <c r="M233" s="111"/>
      <c r="N233" s="111"/>
      <c r="O233" s="111"/>
      <c r="P233" s="111"/>
      <c r="Q233" s="111"/>
      <c r="R233" s="111"/>
      <c r="S233" s="111"/>
      <c r="T233" s="111"/>
      <c r="U233" s="111"/>
      <c r="V233" s="111"/>
      <c r="W233" s="111"/>
      <c r="X233" s="111"/>
      <c r="Y233" s="111"/>
      <c r="Z233" s="111"/>
      <c r="AA233" s="111"/>
      <c r="AB233" s="111"/>
      <c r="AC233" s="111"/>
      <c r="AD233" s="111"/>
      <c r="AE233" s="111"/>
      <c r="AF233" s="111"/>
      <c r="AG233" s="111"/>
      <c r="AH233" s="111"/>
      <c r="AI233" s="111"/>
      <c r="AJ233" s="111"/>
      <c r="AK233" s="111"/>
      <c r="AL233" s="111"/>
      <c r="AM233" s="111"/>
      <c r="AN233" s="111"/>
      <c r="AO233" s="111"/>
      <c r="AP233" s="111"/>
      <c r="AQ233" s="111"/>
      <c r="AR233" s="111"/>
      <c r="AS233" s="111"/>
      <c r="AT233" s="111"/>
      <c r="AU233" s="111"/>
      <c r="AV233" s="111"/>
      <c r="AW233" s="111"/>
      <c r="AX233" s="111"/>
      <c r="AY233" s="111"/>
      <c r="AZ233" s="111"/>
      <c r="BA233" s="111"/>
      <c r="BB233" s="111"/>
      <c r="BC233" s="111"/>
      <c r="BD233" s="111"/>
      <c r="BE233" s="111"/>
      <c r="BF233" s="111"/>
      <c r="BG233" s="111"/>
      <c r="BH233" s="111"/>
      <c r="BI233" s="111"/>
      <c r="BJ233" s="111"/>
      <c r="BK233" s="111"/>
      <c r="BL233" s="111"/>
      <c r="BM233" s="111"/>
      <c r="BN233" s="111"/>
      <c r="BO233" s="111"/>
      <c r="BP233" s="111"/>
      <c r="BQ233" s="111"/>
      <c r="BR233" s="111"/>
      <c r="BS233" s="111"/>
      <c r="BT233" s="111"/>
      <c r="BU233" s="111"/>
      <c r="BV233" s="111"/>
      <c r="BW233" s="111"/>
      <c r="BX233" s="111"/>
      <c r="BY233" s="111"/>
      <c r="BZ233" s="111"/>
      <c r="CA233" s="111"/>
      <c r="CB233" s="111"/>
      <c r="CC233" s="49"/>
      <c r="CD233" s="49"/>
      <c r="CE233" s="49"/>
      <c r="CF233" s="49"/>
      <c r="CG233" s="49"/>
      <c r="CH233" s="49"/>
      <c r="CI233" s="49"/>
      <c r="CJ233" s="49"/>
      <c r="CK233" s="49"/>
      <c r="CL233" s="49"/>
      <c r="CM233" s="49"/>
      <c r="CN233" s="49"/>
      <c r="CO233" s="49"/>
      <c r="CP233" s="49"/>
      <c r="CQ233" s="49"/>
      <c r="CR233" s="49"/>
      <c r="CS233" s="49"/>
      <c r="CT233" s="49"/>
      <c r="CU233" s="49"/>
      <c r="CV233" s="49"/>
      <c r="CW233" s="49"/>
      <c r="CX233" s="49"/>
      <c r="CY233" s="49"/>
      <c r="CZ233" s="49"/>
      <c r="DA233" s="49"/>
      <c r="DB233" s="49"/>
      <c r="DC233" s="49"/>
      <c r="DD233" s="49"/>
      <c r="DE233" s="49"/>
      <c r="DF233" s="49"/>
      <c r="DG233" s="49"/>
      <c r="DH233" s="49"/>
      <c r="DI233" s="49"/>
      <c r="DJ233" s="49"/>
      <c r="DK233" s="49"/>
      <c r="DL233" s="49"/>
      <c r="DM233" s="49"/>
      <c r="DN233" s="49"/>
      <c r="DO233" s="49"/>
      <c r="DP233" s="49"/>
      <c r="DQ233" s="49"/>
      <c r="DR233" s="49"/>
      <c r="DS233" s="49"/>
      <c r="DT233" s="49"/>
      <c r="DU233" s="49"/>
      <c r="DV233" s="49"/>
      <c r="DW233" s="49"/>
      <c r="DX233" s="49"/>
      <c r="DY233" s="49"/>
      <c r="DZ233" s="49"/>
      <c r="EA233" s="49"/>
      <c r="EB233" s="49"/>
      <c r="EC233" s="49"/>
      <c r="ED233" s="49"/>
      <c r="EE233" s="49"/>
      <c r="EF233" s="49"/>
      <c r="EG233" s="49"/>
      <c r="EH233" s="49"/>
      <c r="EI233" s="49"/>
      <c r="EJ233" s="49"/>
      <c r="EK233" s="49"/>
      <c r="EL233" s="49"/>
      <c r="EM233" s="49"/>
      <c r="EN233" s="49"/>
      <c r="EO233" s="49"/>
      <c r="EP233" s="49"/>
      <c r="EQ233" s="49"/>
      <c r="ER233" s="49"/>
      <c r="ES233" s="49"/>
      <c r="ET233" s="49"/>
      <c r="EU233" s="49"/>
      <c r="EV233" s="49"/>
      <c r="EW233" s="49"/>
      <c r="EX233" s="49"/>
      <c r="EY233" s="49"/>
      <c r="EZ233" s="49"/>
      <c r="FA233" s="49"/>
      <c r="FB233" s="49"/>
      <c r="FC233" s="49"/>
      <c r="FD233" s="49"/>
      <c r="FE233" s="49"/>
      <c r="FF233" s="49"/>
      <c r="FG233" s="49"/>
      <c r="FH233" s="49"/>
      <c r="FI233" s="49"/>
      <c r="FJ233" s="49"/>
      <c r="FK233" s="49"/>
      <c r="FL233" s="49"/>
      <c r="FM233" s="49"/>
      <c r="FN233" s="49"/>
      <c r="FO233" s="49"/>
      <c r="FP233" s="49"/>
      <c r="FQ233" s="49"/>
      <c r="FR233" s="49"/>
      <c r="FS233" s="49"/>
      <c r="FT233" s="49"/>
      <c r="FU233" s="49"/>
      <c r="FV233" s="49"/>
      <c r="FW233" s="49"/>
      <c r="FX233" s="49"/>
      <c r="FY233" s="49"/>
      <c r="FZ233" s="49"/>
      <c r="GA233" s="49"/>
      <c r="GB233" s="49"/>
      <c r="GC233" s="49"/>
      <c r="GD233" s="49"/>
      <c r="GE233" s="49"/>
      <c r="GF233" s="49"/>
      <c r="GG233" s="49"/>
      <c r="GH233" s="49"/>
      <c r="GI233" s="49"/>
      <c r="GJ233" s="49"/>
      <c r="GK233" s="49"/>
      <c r="GL233" s="49"/>
      <c r="GM233" s="49"/>
      <c r="GN233" s="49"/>
      <c r="GO233" s="49"/>
      <c r="GP233" s="49"/>
      <c r="GQ233" s="49"/>
      <c r="GR233" s="49"/>
      <c r="GS233" s="49"/>
      <c r="GT233" s="49"/>
      <c r="GU233" s="49"/>
      <c r="GV233" s="49"/>
      <c r="GW233" s="49"/>
      <c r="GX233" s="49"/>
      <c r="GY233" s="49"/>
      <c r="GZ233" s="49"/>
      <c r="HA233" s="49"/>
      <c r="HB233" s="49"/>
      <c r="HC233" s="49"/>
      <c r="HD233" s="49"/>
      <c r="HE233" s="49"/>
      <c r="HF233" s="49"/>
      <c r="HG233" s="49"/>
      <c r="HH233" s="49"/>
      <c r="HI233" s="49"/>
      <c r="HJ233" s="49"/>
      <c r="HK233" s="49"/>
      <c r="HL233" s="49"/>
      <c r="HM233" s="49"/>
      <c r="HN233" s="49"/>
      <c r="HO233" s="49"/>
      <c r="HP233" s="49"/>
      <c r="HQ233" s="49"/>
      <c r="HR233" s="49"/>
      <c r="HS233" s="49"/>
    </row>
    <row r="234" spans="1:227" s="15" customFormat="1" ht="12">
      <c r="A234" s="96" t="s">
        <v>319</v>
      </c>
      <c r="D234" s="15" t="s">
        <v>12</v>
      </c>
      <c r="G234" s="230"/>
      <c r="H234" s="127"/>
      <c r="I234" s="477"/>
      <c r="J234" s="477"/>
      <c r="K234" s="477"/>
      <c r="L234" s="475"/>
      <c r="M234" s="111"/>
      <c r="N234" s="111"/>
      <c r="O234" s="111"/>
      <c r="P234" s="111"/>
      <c r="Q234" s="111"/>
      <c r="R234" s="111"/>
      <c r="S234" s="111"/>
      <c r="T234" s="111"/>
      <c r="U234" s="111"/>
      <c r="V234" s="111"/>
      <c r="W234" s="111"/>
      <c r="X234" s="111"/>
      <c r="Y234" s="111"/>
      <c r="Z234" s="111"/>
      <c r="AA234" s="111"/>
      <c r="AB234" s="111"/>
      <c r="AC234" s="111"/>
      <c r="AD234" s="111"/>
      <c r="AE234" s="111"/>
      <c r="AF234" s="111"/>
      <c r="AG234" s="111"/>
      <c r="AH234" s="111"/>
      <c r="AI234" s="111"/>
      <c r="AJ234" s="111"/>
      <c r="AK234" s="111"/>
      <c r="AL234" s="111"/>
      <c r="AM234" s="111"/>
      <c r="AN234" s="111"/>
      <c r="AO234" s="111"/>
      <c r="AP234" s="111"/>
      <c r="AQ234" s="111"/>
      <c r="AR234" s="111"/>
      <c r="AS234" s="111"/>
      <c r="AT234" s="111"/>
      <c r="AU234" s="111"/>
      <c r="AV234" s="111"/>
      <c r="AW234" s="111"/>
      <c r="AX234" s="111"/>
      <c r="AY234" s="111"/>
      <c r="AZ234" s="111"/>
      <c r="BA234" s="111"/>
      <c r="BB234" s="111"/>
      <c r="BC234" s="111"/>
      <c r="BD234" s="111"/>
      <c r="BE234" s="111"/>
      <c r="BF234" s="111"/>
      <c r="BG234" s="111"/>
      <c r="BH234" s="111"/>
      <c r="BI234" s="111"/>
      <c r="BJ234" s="111"/>
      <c r="BK234" s="111"/>
      <c r="BL234" s="111"/>
      <c r="BM234" s="111"/>
      <c r="BN234" s="111"/>
      <c r="BO234" s="111"/>
      <c r="BP234" s="111"/>
      <c r="BQ234" s="111"/>
      <c r="BR234" s="111"/>
      <c r="BS234" s="111"/>
      <c r="BT234" s="111"/>
      <c r="BU234" s="111"/>
      <c r="BV234" s="111"/>
      <c r="BW234" s="111"/>
      <c r="BX234" s="111"/>
      <c r="BY234" s="111"/>
      <c r="BZ234" s="111"/>
      <c r="CA234" s="111"/>
      <c r="CB234" s="111"/>
      <c r="CC234" s="49"/>
      <c r="CD234" s="49"/>
      <c r="CE234" s="49"/>
      <c r="CF234" s="49"/>
      <c r="CG234" s="49"/>
      <c r="CH234" s="49"/>
      <c r="CI234" s="49"/>
      <c r="CJ234" s="49"/>
      <c r="CK234" s="49"/>
      <c r="CL234" s="49"/>
      <c r="CM234" s="49"/>
      <c r="CN234" s="49"/>
      <c r="CO234" s="49"/>
      <c r="CP234" s="49"/>
      <c r="CQ234" s="49"/>
      <c r="CR234" s="49"/>
      <c r="CS234" s="49"/>
      <c r="CT234" s="49"/>
      <c r="CU234" s="49"/>
      <c r="CV234" s="49"/>
      <c r="CW234" s="49"/>
      <c r="CX234" s="49"/>
      <c r="CY234" s="49"/>
      <c r="CZ234" s="49"/>
      <c r="DA234" s="49"/>
      <c r="DB234" s="49"/>
      <c r="DC234" s="49"/>
      <c r="DD234" s="49"/>
      <c r="DE234" s="49"/>
      <c r="DF234" s="49"/>
      <c r="DG234" s="49"/>
      <c r="DH234" s="49"/>
      <c r="DI234" s="49"/>
      <c r="DJ234" s="49"/>
      <c r="DK234" s="49"/>
      <c r="DL234" s="49"/>
      <c r="DM234" s="49"/>
      <c r="DN234" s="49"/>
      <c r="DO234" s="49"/>
      <c r="DP234" s="49"/>
      <c r="DQ234" s="49"/>
      <c r="DR234" s="49"/>
      <c r="DS234" s="49"/>
      <c r="DT234" s="49"/>
      <c r="DU234" s="49"/>
      <c r="DV234" s="49"/>
      <c r="DW234" s="49"/>
      <c r="DX234" s="49"/>
      <c r="DY234" s="49"/>
      <c r="DZ234" s="49"/>
      <c r="EA234" s="49"/>
      <c r="EB234" s="49"/>
      <c r="EC234" s="49"/>
      <c r="ED234" s="49"/>
      <c r="EE234" s="49"/>
      <c r="EF234" s="49"/>
      <c r="EG234" s="49"/>
      <c r="EH234" s="49"/>
      <c r="EI234" s="49"/>
      <c r="EJ234" s="49"/>
      <c r="EK234" s="49"/>
      <c r="EL234" s="49"/>
      <c r="EM234" s="49"/>
      <c r="EN234" s="49"/>
      <c r="EO234" s="49"/>
      <c r="EP234" s="49"/>
      <c r="EQ234" s="49"/>
      <c r="ER234" s="49"/>
      <c r="ES234" s="49"/>
      <c r="ET234" s="49"/>
      <c r="EU234" s="49"/>
      <c r="EV234" s="49"/>
      <c r="EW234" s="49"/>
      <c r="EX234" s="49"/>
      <c r="EY234" s="49"/>
      <c r="EZ234" s="49"/>
      <c r="FA234" s="49"/>
      <c r="FB234" s="49"/>
      <c r="FC234" s="49"/>
      <c r="FD234" s="49"/>
      <c r="FE234" s="49"/>
      <c r="FF234" s="49"/>
      <c r="FG234" s="49"/>
      <c r="FH234" s="49"/>
      <c r="FI234" s="49"/>
      <c r="FJ234" s="49"/>
      <c r="FK234" s="49"/>
      <c r="FL234" s="49"/>
      <c r="FM234" s="49"/>
      <c r="FN234" s="49"/>
      <c r="FO234" s="49"/>
      <c r="FP234" s="49"/>
      <c r="FQ234" s="49"/>
      <c r="FR234" s="49"/>
      <c r="FS234" s="49"/>
      <c r="FT234" s="49"/>
      <c r="FU234" s="49"/>
      <c r="FV234" s="49"/>
      <c r="FW234" s="49"/>
      <c r="FX234" s="49"/>
      <c r="FY234" s="49"/>
      <c r="FZ234" s="49"/>
      <c r="GA234" s="49"/>
      <c r="GB234" s="49"/>
      <c r="GC234" s="49"/>
      <c r="GD234" s="49"/>
      <c r="GE234" s="49"/>
      <c r="GF234" s="49"/>
      <c r="GG234" s="49"/>
      <c r="GH234" s="49"/>
      <c r="GI234" s="49"/>
      <c r="GJ234" s="49"/>
      <c r="GK234" s="49"/>
      <c r="GL234" s="49"/>
      <c r="GM234" s="49"/>
      <c r="GN234" s="49"/>
      <c r="GO234" s="49"/>
      <c r="GP234" s="49"/>
      <c r="GQ234" s="49"/>
      <c r="GR234" s="49"/>
      <c r="GS234" s="49"/>
      <c r="GT234" s="49"/>
      <c r="GU234" s="49"/>
      <c r="GV234" s="49"/>
      <c r="GW234" s="49"/>
      <c r="GX234" s="49"/>
      <c r="GY234" s="49"/>
      <c r="GZ234" s="49"/>
      <c r="HA234" s="49"/>
      <c r="HB234" s="49"/>
      <c r="HC234" s="49"/>
      <c r="HD234" s="49"/>
      <c r="HE234" s="49"/>
      <c r="HF234" s="49"/>
      <c r="HG234" s="49"/>
      <c r="HH234" s="49"/>
      <c r="HI234" s="49"/>
      <c r="HJ234" s="49"/>
      <c r="HK234" s="49"/>
      <c r="HL234" s="49"/>
      <c r="HM234" s="49"/>
      <c r="HN234" s="49"/>
      <c r="HO234" s="49"/>
      <c r="HP234" s="49"/>
      <c r="HQ234" s="49"/>
      <c r="HR234" s="49"/>
      <c r="HS234" s="49"/>
    </row>
    <row r="235" spans="1:227" s="15" customFormat="1" ht="12">
      <c r="A235" s="96" t="s">
        <v>320</v>
      </c>
      <c r="D235" s="15" t="s">
        <v>13</v>
      </c>
      <c r="G235" s="230"/>
      <c r="H235" s="127"/>
      <c r="I235" s="477"/>
      <c r="J235" s="474"/>
      <c r="K235" s="477"/>
      <c r="L235" s="475"/>
      <c r="M235" s="111"/>
      <c r="N235" s="111"/>
      <c r="O235" s="111"/>
      <c r="P235" s="111"/>
      <c r="Q235" s="111"/>
      <c r="R235" s="111"/>
      <c r="S235" s="111"/>
      <c r="T235" s="111"/>
      <c r="U235" s="111"/>
      <c r="V235" s="111"/>
      <c r="W235" s="111"/>
      <c r="X235" s="111"/>
      <c r="Y235" s="111"/>
      <c r="Z235" s="111"/>
      <c r="AA235" s="111"/>
      <c r="AB235" s="111"/>
      <c r="AC235" s="111"/>
      <c r="AD235" s="111"/>
      <c r="AE235" s="111"/>
      <c r="AF235" s="111"/>
      <c r="AG235" s="111"/>
      <c r="AH235" s="111"/>
      <c r="AI235" s="111"/>
      <c r="AJ235" s="111"/>
      <c r="AK235" s="111"/>
      <c r="AL235" s="111"/>
      <c r="AM235" s="111"/>
      <c r="AN235" s="111"/>
      <c r="AO235" s="111"/>
      <c r="AP235" s="111"/>
      <c r="AQ235" s="111"/>
      <c r="AR235" s="111"/>
      <c r="AS235" s="111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  <c r="BE235" s="49"/>
      <c r="BF235" s="49"/>
      <c r="BG235" s="49"/>
      <c r="BH235" s="49"/>
      <c r="BI235" s="49"/>
      <c r="BJ235" s="49"/>
      <c r="BK235" s="49"/>
      <c r="BL235" s="49"/>
      <c r="BM235" s="49"/>
      <c r="BN235" s="49"/>
      <c r="BO235" s="49"/>
      <c r="BP235" s="49"/>
      <c r="BQ235" s="49"/>
      <c r="BR235" s="49"/>
      <c r="BS235" s="49"/>
      <c r="BT235" s="49"/>
      <c r="BU235" s="49"/>
      <c r="BV235" s="49"/>
      <c r="BW235" s="49"/>
      <c r="BX235" s="49"/>
      <c r="BY235" s="49"/>
      <c r="BZ235" s="49"/>
      <c r="CA235" s="49"/>
      <c r="CB235" s="49"/>
      <c r="CC235" s="49"/>
      <c r="CD235" s="49"/>
      <c r="CE235" s="49"/>
      <c r="CF235" s="49"/>
      <c r="CG235" s="49"/>
      <c r="CH235" s="49"/>
      <c r="CI235" s="49"/>
      <c r="CJ235" s="49"/>
      <c r="CK235" s="49"/>
      <c r="CL235" s="49"/>
      <c r="CM235" s="49"/>
      <c r="CN235" s="49"/>
      <c r="CO235" s="49"/>
      <c r="CP235" s="49"/>
      <c r="CQ235" s="49"/>
      <c r="CR235" s="49"/>
      <c r="CS235" s="49"/>
      <c r="CT235" s="49"/>
      <c r="CU235" s="49"/>
      <c r="CV235" s="49"/>
      <c r="CW235" s="49"/>
      <c r="CX235" s="49"/>
      <c r="CY235" s="49"/>
      <c r="CZ235" s="49"/>
      <c r="DA235" s="49"/>
      <c r="DB235" s="49"/>
      <c r="DC235" s="49"/>
      <c r="DD235" s="49"/>
      <c r="DE235" s="49"/>
      <c r="DF235" s="49"/>
      <c r="DG235" s="49"/>
      <c r="DH235" s="49"/>
      <c r="DI235" s="49"/>
      <c r="DJ235" s="49"/>
      <c r="DK235" s="49"/>
      <c r="DL235" s="49"/>
      <c r="DM235" s="49"/>
      <c r="DN235" s="49"/>
      <c r="DO235" s="49"/>
      <c r="DP235" s="49"/>
      <c r="DQ235" s="49"/>
      <c r="DR235" s="49"/>
      <c r="DS235" s="49"/>
      <c r="DT235" s="49"/>
      <c r="DU235" s="49"/>
      <c r="DV235" s="49"/>
      <c r="DW235" s="49"/>
      <c r="DX235" s="49"/>
      <c r="DY235" s="49"/>
      <c r="DZ235" s="49"/>
      <c r="EA235" s="49"/>
      <c r="EB235" s="49"/>
      <c r="EC235" s="49"/>
      <c r="ED235" s="49"/>
      <c r="EE235" s="49"/>
      <c r="EF235" s="49"/>
      <c r="EG235" s="49"/>
      <c r="EH235" s="49"/>
      <c r="EI235" s="49"/>
      <c r="EJ235" s="49"/>
      <c r="EK235" s="49"/>
      <c r="EL235" s="49"/>
      <c r="EM235" s="49"/>
      <c r="EN235" s="49"/>
      <c r="EO235" s="49"/>
      <c r="EP235" s="49"/>
      <c r="EQ235" s="49"/>
      <c r="ER235" s="49"/>
      <c r="ES235" s="49"/>
      <c r="ET235" s="49"/>
      <c r="EU235" s="49"/>
      <c r="EV235" s="49"/>
      <c r="EW235" s="49"/>
      <c r="EX235" s="49"/>
      <c r="EY235" s="49"/>
      <c r="EZ235" s="49"/>
      <c r="FA235" s="49"/>
      <c r="FB235" s="49"/>
      <c r="FC235" s="49"/>
      <c r="FD235" s="49"/>
      <c r="FE235" s="49"/>
      <c r="FF235" s="49"/>
      <c r="FG235" s="49"/>
      <c r="FH235" s="49"/>
      <c r="FI235" s="49"/>
      <c r="FJ235" s="49"/>
      <c r="FK235" s="49"/>
      <c r="FL235" s="49"/>
      <c r="FM235" s="49"/>
      <c r="FN235" s="49"/>
      <c r="FO235" s="49"/>
      <c r="FP235" s="49"/>
      <c r="FQ235" s="49"/>
      <c r="FR235" s="49"/>
      <c r="FS235" s="49"/>
      <c r="FT235" s="49"/>
      <c r="FU235" s="49"/>
      <c r="FV235" s="49"/>
      <c r="FW235" s="49"/>
      <c r="FX235" s="49"/>
      <c r="FY235" s="49"/>
      <c r="FZ235" s="49"/>
      <c r="GA235" s="49"/>
      <c r="GB235" s="49"/>
      <c r="GC235" s="49"/>
      <c r="GD235" s="49"/>
      <c r="GE235" s="49"/>
      <c r="GF235" s="49"/>
      <c r="GG235" s="49"/>
      <c r="GH235" s="49"/>
      <c r="GI235" s="49"/>
      <c r="GJ235" s="49"/>
      <c r="GK235" s="49"/>
      <c r="GL235" s="49"/>
      <c r="GM235" s="49"/>
      <c r="GN235" s="49"/>
      <c r="GO235" s="49"/>
      <c r="GP235" s="49"/>
      <c r="GQ235" s="49"/>
      <c r="GR235" s="49"/>
      <c r="GS235" s="49"/>
      <c r="GT235" s="49"/>
      <c r="GU235" s="49"/>
      <c r="GV235" s="49"/>
      <c r="GW235" s="49"/>
      <c r="GX235" s="49"/>
      <c r="GY235" s="49"/>
      <c r="GZ235" s="49"/>
      <c r="HA235" s="49"/>
      <c r="HB235" s="49"/>
      <c r="HC235" s="49"/>
      <c r="HD235" s="49"/>
      <c r="HE235" s="49"/>
      <c r="HF235" s="49"/>
      <c r="HG235" s="49"/>
      <c r="HH235" s="49"/>
      <c r="HI235" s="49"/>
      <c r="HJ235" s="49"/>
      <c r="HK235" s="49"/>
      <c r="HL235" s="49"/>
      <c r="HM235" s="49"/>
      <c r="HN235" s="49"/>
      <c r="HO235" s="49"/>
      <c r="HP235" s="49"/>
      <c r="HQ235" s="49"/>
      <c r="HR235" s="49"/>
      <c r="HS235" s="49"/>
    </row>
    <row r="236" spans="1:227" s="15" customFormat="1" ht="12">
      <c r="A236" s="96" t="s">
        <v>321</v>
      </c>
      <c r="D236" s="15" t="s">
        <v>14</v>
      </c>
      <c r="G236" s="230"/>
      <c r="H236" s="127"/>
      <c r="I236" s="477"/>
      <c r="J236" s="476"/>
      <c r="K236" s="477"/>
      <c r="L236" s="475"/>
      <c r="M236" s="111"/>
      <c r="N236" s="111"/>
      <c r="O236" s="111"/>
      <c r="P236" s="111"/>
      <c r="Q236" s="111"/>
      <c r="R236" s="111"/>
      <c r="S236" s="111"/>
      <c r="T236" s="111"/>
      <c r="U236" s="111"/>
      <c r="V236" s="111"/>
      <c r="W236" s="111"/>
      <c r="X236" s="111"/>
      <c r="Y236" s="111"/>
      <c r="Z236" s="111"/>
      <c r="AA236" s="111"/>
      <c r="AB236" s="111"/>
      <c r="AC236" s="111"/>
      <c r="AD236" s="111"/>
      <c r="AE236" s="111"/>
      <c r="AF236" s="111"/>
      <c r="AG236" s="111"/>
      <c r="AH236" s="111"/>
      <c r="AI236" s="111"/>
      <c r="AJ236" s="111"/>
      <c r="AK236" s="111"/>
      <c r="AL236" s="111"/>
      <c r="AM236" s="111"/>
      <c r="AN236" s="111"/>
      <c r="AO236" s="111"/>
      <c r="AP236" s="111"/>
      <c r="AQ236" s="111"/>
      <c r="AR236" s="111"/>
      <c r="AS236" s="111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  <c r="BF236" s="49"/>
      <c r="BG236" s="49"/>
      <c r="BH236" s="49"/>
      <c r="BI236" s="49"/>
      <c r="BJ236" s="49"/>
      <c r="BK236" s="49"/>
      <c r="BL236" s="49"/>
      <c r="BM236" s="49"/>
      <c r="BN236" s="49"/>
      <c r="BO236" s="49"/>
      <c r="BP236" s="49"/>
      <c r="BQ236" s="49"/>
      <c r="BR236" s="49"/>
      <c r="BS236" s="49"/>
      <c r="BT236" s="49"/>
      <c r="BU236" s="49"/>
      <c r="BV236" s="49"/>
      <c r="BW236" s="49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/>
      <c r="CH236" s="49"/>
      <c r="CI236" s="49"/>
      <c r="CJ236" s="49"/>
      <c r="CK236" s="49"/>
      <c r="CL236" s="49"/>
      <c r="CM236" s="49"/>
      <c r="CN236" s="49"/>
      <c r="CO236" s="49"/>
      <c r="CP236" s="49"/>
      <c r="CQ236" s="49"/>
      <c r="CR236" s="49"/>
      <c r="CS236" s="49"/>
      <c r="CT236" s="49"/>
      <c r="CU236" s="49"/>
      <c r="CV236" s="49"/>
      <c r="CW236" s="49"/>
      <c r="CX236" s="49"/>
      <c r="CY236" s="49"/>
      <c r="CZ236" s="49"/>
      <c r="DA236" s="49"/>
      <c r="DB236" s="49"/>
      <c r="DC236" s="49"/>
      <c r="DD236" s="49"/>
      <c r="DE236" s="49"/>
      <c r="DF236" s="49"/>
      <c r="DG236" s="49"/>
      <c r="DH236" s="49"/>
      <c r="DI236" s="49"/>
      <c r="DJ236" s="49"/>
      <c r="DK236" s="49"/>
      <c r="DL236" s="49"/>
      <c r="DM236" s="49"/>
      <c r="DN236" s="49"/>
      <c r="DO236" s="49"/>
      <c r="DP236" s="49"/>
      <c r="DQ236" s="49"/>
      <c r="DR236" s="49"/>
      <c r="DS236" s="49"/>
      <c r="DT236" s="49"/>
      <c r="DU236" s="49"/>
      <c r="DV236" s="49"/>
      <c r="DW236" s="49"/>
      <c r="DX236" s="49"/>
      <c r="DY236" s="49"/>
      <c r="DZ236" s="49"/>
      <c r="EA236" s="49"/>
      <c r="EB236" s="49"/>
      <c r="EC236" s="49"/>
      <c r="ED236" s="49"/>
      <c r="EE236" s="49"/>
      <c r="EF236" s="49"/>
      <c r="EG236" s="49"/>
      <c r="EH236" s="49"/>
      <c r="EI236" s="49"/>
      <c r="EJ236" s="49"/>
      <c r="EK236" s="49"/>
      <c r="EL236" s="49"/>
      <c r="EM236" s="49"/>
      <c r="EN236" s="49"/>
      <c r="EO236" s="49"/>
      <c r="EP236" s="49"/>
      <c r="EQ236" s="49"/>
      <c r="ER236" s="49"/>
      <c r="ES236" s="49"/>
      <c r="ET236" s="49"/>
      <c r="EU236" s="49"/>
      <c r="EV236" s="49"/>
      <c r="EW236" s="49"/>
      <c r="EX236" s="49"/>
      <c r="EY236" s="49"/>
      <c r="EZ236" s="49"/>
      <c r="FA236" s="49"/>
      <c r="FB236" s="49"/>
      <c r="FC236" s="49"/>
      <c r="FD236" s="49"/>
      <c r="FE236" s="49"/>
      <c r="FF236" s="49"/>
      <c r="FG236" s="49"/>
      <c r="FH236" s="49"/>
      <c r="FI236" s="49"/>
      <c r="FJ236" s="49"/>
      <c r="FK236" s="49"/>
      <c r="FL236" s="49"/>
      <c r="FM236" s="49"/>
      <c r="FN236" s="49"/>
      <c r="FO236" s="49"/>
      <c r="FP236" s="49"/>
      <c r="FQ236" s="49"/>
      <c r="FR236" s="49"/>
      <c r="FS236" s="49"/>
      <c r="FT236" s="49"/>
      <c r="FU236" s="49"/>
      <c r="FV236" s="49"/>
      <c r="FW236" s="49"/>
      <c r="FX236" s="49"/>
      <c r="FY236" s="49"/>
      <c r="FZ236" s="49"/>
      <c r="GA236" s="49"/>
      <c r="GB236" s="49"/>
      <c r="GC236" s="49"/>
      <c r="GD236" s="49"/>
      <c r="GE236" s="49"/>
      <c r="GF236" s="49"/>
      <c r="GG236" s="49"/>
      <c r="GH236" s="49"/>
      <c r="GI236" s="49"/>
      <c r="GJ236" s="49"/>
      <c r="GK236" s="49"/>
      <c r="GL236" s="49"/>
      <c r="GM236" s="49"/>
      <c r="GN236" s="49"/>
      <c r="GO236" s="49"/>
      <c r="GP236" s="49"/>
      <c r="GQ236" s="49"/>
      <c r="GR236" s="49"/>
      <c r="GS236" s="49"/>
      <c r="GT236" s="49"/>
      <c r="GU236" s="49"/>
      <c r="GV236" s="49"/>
      <c r="GW236" s="49"/>
      <c r="GX236" s="49"/>
      <c r="GY236" s="49"/>
      <c r="GZ236" s="49"/>
      <c r="HA236" s="49"/>
      <c r="HB236" s="49"/>
      <c r="HC236" s="49"/>
      <c r="HD236" s="49"/>
      <c r="HE236" s="49"/>
      <c r="HF236" s="49"/>
      <c r="HG236" s="49"/>
      <c r="HH236" s="49"/>
      <c r="HI236" s="49"/>
      <c r="HJ236" s="49"/>
      <c r="HK236" s="49"/>
      <c r="HL236" s="49"/>
      <c r="HM236" s="49"/>
      <c r="HN236" s="49"/>
      <c r="HO236" s="49"/>
      <c r="HP236" s="49"/>
      <c r="HQ236" s="49"/>
      <c r="HR236" s="49"/>
      <c r="HS236" s="49"/>
    </row>
    <row r="237" spans="1:227" ht="12">
      <c r="A237" s="96"/>
      <c r="B237" s="15"/>
      <c r="C237" s="15" t="s">
        <v>16</v>
      </c>
      <c r="D237" s="15"/>
      <c r="E237" s="15"/>
      <c r="F237" s="15"/>
      <c r="H237" s="127"/>
      <c r="I237" s="475"/>
      <c r="J237" s="476"/>
      <c r="K237" s="474"/>
      <c r="L237" s="474"/>
      <c r="AO237" s="111"/>
      <c r="AP237" s="111"/>
      <c r="AQ237" s="111"/>
      <c r="AR237" s="111"/>
      <c r="AS237" s="111"/>
      <c r="AT237" s="111"/>
      <c r="AU237" s="111"/>
      <c r="AV237" s="111"/>
      <c r="AW237" s="111"/>
      <c r="AX237" s="111"/>
      <c r="AY237" s="111"/>
      <c r="AZ237" s="111"/>
      <c r="BA237" s="111"/>
      <c r="BB237" s="111"/>
      <c r="BC237" s="111"/>
      <c r="BD237" s="111"/>
      <c r="BE237" s="111"/>
      <c r="BF237" s="111"/>
      <c r="BG237" s="111"/>
      <c r="BH237" s="111"/>
      <c r="BI237" s="111"/>
      <c r="BJ237" s="111"/>
      <c r="BK237" s="111"/>
      <c r="BL237" s="111"/>
      <c r="BM237" s="111"/>
      <c r="BN237" s="111"/>
      <c r="BO237" s="111"/>
      <c r="BP237" s="111"/>
      <c r="BQ237" s="111"/>
      <c r="BR237" s="111"/>
      <c r="BS237" s="111"/>
      <c r="BT237" s="111"/>
      <c r="BU237" s="111"/>
      <c r="BV237" s="111"/>
      <c r="BW237" s="111"/>
      <c r="BX237" s="111"/>
      <c r="BY237" s="111"/>
      <c r="BZ237" s="111"/>
      <c r="CA237" s="111"/>
      <c r="CB237" s="111"/>
      <c r="CC237" s="111"/>
      <c r="CD237" s="111"/>
      <c r="CE237" s="111"/>
      <c r="CF237" s="111"/>
      <c r="CG237" s="111"/>
      <c r="CH237" s="111"/>
      <c r="CI237" s="111"/>
      <c r="CJ237" s="111"/>
      <c r="CK237" s="111"/>
      <c r="CL237" s="111"/>
      <c r="CM237" s="111"/>
      <c r="CN237" s="111"/>
      <c r="CO237" s="111"/>
      <c r="CP237" s="111"/>
      <c r="CQ237" s="111"/>
      <c r="CR237" s="111"/>
      <c r="CS237" s="111"/>
      <c r="CT237" s="111"/>
      <c r="CU237" s="111"/>
      <c r="CV237" s="111"/>
      <c r="CW237" s="111"/>
      <c r="CX237" s="111"/>
      <c r="CY237" s="111"/>
      <c r="CZ237" s="111"/>
      <c r="DA237" s="111"/>
      <c r="DB237" s="111"/>
      <c r="DC237" s="111"/>
      <c r="DD237" s="111"/>
      <c r="DE237" s="111"/>
      <c r="DF237" s="111"/>
      <c r="DG237" s="111"/>
      <c r="DH237" s="111"/>
      <c r="DI237" s="111"/>
      <c r="DJ237" s="111"/>
      <c r="DK237" s="111"/>
      <c r="DL237" s="111"/>
      <c r="DM237" s="111"/>
      <c r="DN237" s="111"/>
      <c r="DO237" s="111"/>
      <c r="DP237" s="111"/>
      <c r="DQ237" s="111"/>
      <c r="DR237" s="111"/>
      <c r="DS237" s="111"/>
      <c r="DT237" s="111"/>
      <c r="DU237" s="111"/>
      <c r="DV237" s="111"/>
      <c r="DW237" s="111"/>
      <c r="DX237" s="111"/>
      <c r="DY237" s="111"/>
      <c r="DZ237" s="111"/>
      <c r="EA237" s="111"/>
      <c r="EB237" s="111"/>
      <c r="EC237" s="111"/>
      <c r="ED237" s="111"/>
      <c r="EE237" s="111"/>
      <c r="EF237" s="111"/>
      <c r="EG237" s="111"/>
      <c r="EH237" s="111"/>
      <c r="EI237" s="111"/>
      <c r="EJ237" s="111"/>
      <c r="EK237" s="111"/>
      <c r="EL237" s="111"/>
      <c r="EM237" s="111"/>
      <c r="EN237" s="111"/>
      <c r="EO237" s="111"/>
      <c r="EP237" s="111"/>
      <c r="EQ237" s="111"/>
      <c r="ER237" s="111"/>
      <c r="ES237" s="111"/>
      <c r="ET237" s="111"/>
      <c r="EU237" s="111"/>
      <c r="EV237" s="111"/>
      <c r="EW237" s="111"/>
      <c r="EX237" s="111"/>
      <c r="EY237" s="111"/>
      <c r="EZ237" s="111"/>
      <c r="FA237" s="111"/>
      <c r="FB237" s="111"/>
      <c r="FC237" s="111"/>
      <c r="FD237" s="111"/>
      <c r="FE237" s="111"/>
      <c r="FF237" s="111"/>
      <c r="FG237" s="111"/>
      <c r="FH237" s="111"/>
      <c r="FI237" s="111"/>
      <c r="FJ237" s="111"/>
      <c r="FK237" s="111"/>
      <c r="FL237" s="111"/>
      <c r="FM237" s="111"/>
      <c r="FN237" s="111"/>
      <c r="FO237" s="111"/>
      <c r="FP237" s="111"/>
      <c r="FQ237" s="111"/>
      <c r="FR237" s="111"/>
      <c r="FS237" s="111"/>
      <c r="FT237" s="111"/>
      <c r="FU237" s="111"/>
      <c r="FV237" s="111"/>
      <c r="FW237" s="111"/>
      <c r="FX237" s="111"/>
      <c r="FY237" s="111"/>
      <c r="FZ237" s="111"/>
      <c r="GA237" s="111"/>
      <c r="GB237" s="111"/>
      <c r="GC237" s="111"/>
      <c r="GD237" s="111"/>
      <c r="GE237" s="111"/>
      <c r="GF237" s="111"/>
      <c r="GG237" s="111"/>
      <c r="GH237" s="111"/>
      <c r="GI237" s="111"/>
      <c r="GJ237" s="111"/>
      <c r="GK237" s="111"/>
      <c r="GL237" s="111"/>
      <c r="GM237" s="111"/>
      <c r="GN237" s="111"/>
      <c r="GO237" s="111"/>
      <c r="GP237" s="111"/>
      <c r="GQ237" s="111"/>
      <c r="GR237" s="111"/>
      <c r="GS237" s="111"/>
      <c r="GT237" s="111"/>
      <c r="GU237" s="111"/>
      <c r="GV237" s="111"/>
      <c r="GW237" s="111"/>
      <c r="GX237" s="111"/>
      <c r="GY237" s="111"/>
      <c r="GZ237" s="111"/>
      <c r="HA237" s="111"/>
      <c r="HB237" s="111"/>
      <c r="HC237" s="111"/>
      <c r="HD237" s="111"/>
      <c r="HE237" s="111"/>
      <c r="HF237" s="111"/>
      <c r="HG237" s="111"/>
      <c r="HH237" s="111"/>
      <c r="HI237" s="111"/>
      <c r="HJ237" s="111"/>
      <c r="HK237" s="111"/>
      <c r="HL237" s="111"/>
      <c r="HM237" s="111"/>
      <c r="HN237" s="111"/>
      <c r="HO237" s="111"/>
      <c r="HP237" s="111"/>
      <c r="HQ237" s="111"/>
      <c r="HR237" s="111"/>
      <c r="HS237" s="111"/>
    </row>
    <row r="238" spans="1:227" ht="13.5" customHeight="1">
      <c r="A238" s="96"/>
      <c r="B238" s="15"/>
      <c r="C238" s="15" t="s">
        <v>10</v>
      </c>
      <c r="D238" s="15"/>
      <c r="E238" s="15"/>
      <c r="F238" s="15"/>
      <c r="H238" s="136"/>
      <c r="I238" s="475"/>
      <c r="J238" s="476"/>
      <c r="K238" s="474"/>
      <c r="L238" s="474"/>
      <c r="AO238" s="111"/>
      <c r="AP238" s="111"/>
      <c r="AQ238" s="111"/>
      <c r="AR238" s="111"/>
      <c r="AS238" s="111"/>
      <c r="AT238" s="111"/>
      <c r="AU238" s="111"/>
      <c r="AV238" s="111"/>
      <c r="AW238" s="111"/>
      <c r="AX238" s="111"/>
      <c r="AY238" s="111"/>
      <c r="AZ238" s="111"/>
      <c r="BA238" s="111"/>
      <c r="BB238" s="111"/>
      <c r="BC238" s="111"/>
      <c r="BD238" s="111"/>
      <c r="BE238" s="111"/>
      <c r="BF238" s="111"/>
      <c r="BG238" s="111"/>
      <c r="BH238" s="111"/>
      <c r="BI238" s="111"/>
      <c r="BJ238" s="111"/>
      <c r="BK238" s="111"/>
      <c r="BL238" s="111"/>
      <c r="BM238" s="111"/>
      <c r="BN238" s="111"/>
      <c r="BO238" s="111"/>
      <c r="BP238" s="111"/>
      <c r="BQ238" s="111"/>
      <c r="BR238" s="111"/>
      <c r="BS238" s="111"/>
      <c r="BT238" s="111"/>
      <c r="BU238" s="111"/>
      <c r="BV238" s="111"/>
      <c r="BW238" s="111"/>
      <c r="BX238" s="111"/>
      <c r="BY238" s="111"/>
      <c r="BZ238" s="111"/>
      <c r="CA238" s="111"/>
      <c r="CB238" s="111"/>
      <c r="CC238" s="111"/>
      <c r="CD238" s="111"/>
      <c r="CE238" s="111"/>
      <c r="CF238" s="111"/>
      <c r="CG238" s="111"/>
      <c r="CH238" s="111"/>
      <c r="CI238" s="111"/>
      <c r="CJ238" s="111"/>
      <c r="CK238" s="111"/>
      <c r="CL238" s="111"/>
      <c r="CM238" s="111"/>
      <c r="CN238" s="111"/>
      <c r="CO238" s="111"/>
      <c r="CP238" s="111"/>
      <c r="CQ238" s="111"/>
      <c r="CR238" s="111"/>
      <c r="CS238" s="111"/>
      <c r="CT238" s="111"/>
      <c r="CU238" s="111"/>
      <c r="CV238" s="111"/>
      <c r="CW238" s="111"/>
      <c r="CX238" s="111"/>
      <c r="CY238" s="111"/>
      <c r="CZ238" s="111"/>
      <c r="DA238" s="111"/>
      <c r="DB238" s="111"/>
      <c r="DC238" s="111"/>
      <c r="DD238" s="111"/>
      <c r="DE238" s="111"/>
      <c r="DF238" s="111"/>
      <c r="DG238" s="111"/>
      <c r="DH238" s="111"/>
      <c r="DI238" s="111"/>
      <c r="DJ238" s="111"/>
      <c r="DK238" s="111"/>
      <c r="DL238" s="111"/>
      <c r="DM238" s="111"/>
      <c r="DN238" s="111"/>
      <c r="DO238" s="111"/>
      <c r="DP238" s="111"/>
      <c r="DQ238" s="111"/>
      <c r="DR238" s="111"/>
      <c r="DS238" s="111"/>
      <c r="DT238" s="111"/>
      <c r="DU238" s="111"/>
      <c r="DV238" s="111"/>
      <c r="DW238" s="111"/>
      <c r="DX238" s="111"/>
      <c r="DY238" s="111"/>
      <c r="DZ238" s="111"/>
      <c r="EA238" s="111"/>
      <c r="EB238" s="111"/>
      <c r="EC238" s="111"/>
      <c r="ED238" s="111"/>
      <c r="EE238" s="111"/>
      <c r="EF238" s="111"/>
      <c r="EG238" s="111"/>
      <c r="EH238" s="111"/>
      <c r="EI238" s="111"/>
      <c r="EJ238" s="111"/>
      <c r="EK238" s="111"/>
      <c r="EL238" s="111"/>
      <c r="EM238" s="111"/>
      <c r="EN238" s="111"/>
      <c r="EO238" s="111"/>
      <c r="EP238" s="111"/>
      <c r="EQ238" s="111"/>
      <c r="ER238" s="111"/>
      <c r="ES238" s="111"/>
      <c r="ET238" s="111"/>
      <c r="EU238" s="111"/>
      <c r="EV238" s="111"/>
      <c r="EW238" s="111"/>
      <c r="EX238" s="111"/>
      <c r="EY238" s="111"/>
      <c r="EZ238" s="111"/>
      <c r="FA238" s="111"/>
      <c r="FB238" s="111"/>
      <c r="FC238" s="111"/>
      <c r="FD238" s="111"/>
      <c r="FE238" s="111"/>
      <c r="FF238" s="111"/>
      <c r="FG238" s="111"/>
      <c r="FH238" s="111"/>
      <c r="FI238" s="111"/>
      <c r="FJ238" s="111"/>
      <c r="FK238" s="111"/>
      <c r="FL238" s="111"/>
      <c r="FM238" s="111"/>
      <c r="FN238" s="111"/>
      <c r="FO238" s="111"/>
      <c r="FP238" s="111"/>
      <c r="FQ238" s="111"/>
      <c r="FR238" s="111"/>
      <c r="FS238" s="111"/>
      <c r="FT238" s="111"/>
      <c r="FU238" s="111"/>
      <c r="FV238" s="111"/>
      <c r="FW238" s="111"/>
      <c r="FX238" s="111"/>
      <c r="FY238" s="111"/>
      <c r="FZ238" s="111"/>
      <c r="GA238" s="111"/>
      <c r="GB238" s="111"/>
      <c r="GC238" s="111"/>
      <c r="GD238" s="111"/>
      <c r="GE238" s="111"/>
      <c r="GF238" s="111"/>
      <c r="GG238" s="111"/>
      <c r="GH238" s="111"/>
      <c r="GI238" s="111"/>
      <c r="GJ238" s="111"/>
      <c r="GK238" s="111"/>
      <c r="GL238" s="111"/>
      <c r="GM238" s="111"/>
      <c r="GN238" s="111"/>
      <c r="GO238" s="111"/>
      <c r="GP238" s="111"/>
      <c r="GQ238" s="111"/>
      <c r="GR238" s="111"/>
      <c r="GS238" s="111"/>
      <c r="GT238" s="111"/>
      <c r="GU238" s="111"/>
      <c r="GV238" s="111"/>
      <c r="GW238" s="111"/>
      <c r="GX238" s="111"/>
      <c r="GY238" s="111"/>
      <c r="GZ238" s="111"/>
      <c r="HA238" s="111"/>
      <c r="HB238" s="111"/>
      <c r="HC238" s="111"/>
      <c r="HD238" s="111"/>
      <c r="HE238" s="111"/>
      <c r="HF238" s="111"/>
      <c r="HG238" s="111"/>
      <c r="HH238" s="111"/>
      <c r="HI238" s="111"/>
      <c r="HJ238" s="111"/>
      <c r="HK238" s="111"/>
      <c r="HL238" s="111"/>
      <c r="HM238" s="111"/>
      <c r="HN238" s="111"/>
      <c r="HO238" s="111"/>
      <c r="HP238" s="111"/>
      <c r="HQ238" s="111"/>
      <c r="HR238" s="111"/>
      <c r="HS238" s="111"/>
    </row>
    <row r="239" spans="1:227" ht="12">
      <c r="A239" s="96" t="s">
        <v>322</v>
      </c>
      <c r="B239" s="15"/>
      <c r="C239" s="15"/>
      <c r="D239" s="15" t="s">
        <v>17</v>
      </c>
      <c r="E239" s="15"/>
      <c r="F239" s="15"/>
      <c r="H239" s="136"/>
      <c r="I239" s="477"/>
      <c r="J239" s="476"/>
      <c r="K239" s="478"/>
      <c r="L239" s="478"/>
      <c r="AO239" s="111"/>
      <c r="AP239" s="111"/>
      <c r="AQ239" s="111"/>
      <c r="AR239" s="111"/>
      <c r="AS239" s="111"/>
      <c r="AT239" s="111"/>
      <c r="AU239" s="111"/>
      <c r="AV239" s="111"/>
      <c r="AW239" s="111"/>
      <c r="AX239" s="111"/>
      <c r="AY239" s="111"/>
      <c r="AZ239" s="111"/>
      <c r="BA239" s="111"/>
      <c r="BB239" s="111"/>
      <c r="BC239" s="111"/>
      <c r="BD239" s="111"/>
      <c r="BE239" s="111"/>
      <c r="BF239" s="111"/>
      <c r="BG239" s="111"/>
      <c r="BH239" s="111"/>
      <c r="BI239" s="111"/>
      <c r="BJ239" s="111"/>
      <c r="BK239" s="111"/>
      <c r="BL239" s="111"/>
      <c r="BM239" s="111"/>
      <c r="BN239" s="111"/>
      <c r="BO239" s="111"/>
      <c r="BP239" s="111"/>
      <c r="BQ239" s="111"/>
      <c r="BR239" s="111"/>
      <c r="BS239" s="111"/>
      <c r="BT239" s="111"/>
      <c r="BU239" s="111"/>
      <c r="BV239" s="111"/>
      <c r="BW239" s="111"/>
      <c r="BX239" s="111"/>
      <c r="BY239" s="111"/>
      <c r="BZ239" s="111"/>
      <c r="CA239" s="111"/>
      <c r="CB239" s="111"/>
      <c r="CC239" s="111"/>
      <c r="CD239" s="111"/>
      <c r="CE239" s="111"/>
      <c r="CF239" s="111"/>
      <c r="CG239" s="111"/>
      <c r="CH239" s="111"/>
      <c r="CI239" s="111"/>
      <c r="CJ239" s="111"/>
      <c r="CK239" s="111"/>
      <c r="CL239" s="111"/>
      <c r="CM239" s="111"/>
      <c r="CN239" s="111"/>
      <c r="CO239" s="111"/>
      <c r="CP239" s="111"/>
      <c r="CQ239" s="111"/>
      <c r="CR239" s="111"/>
      <c r="CS239" s="111"/>
      <c r="CT239" s="111"/>
      <c r="CU239" s="111"/>
      <c r="CV239" s="111"/>
      <c r="CW239" s="111"/>
      <c r="CX239" s="111"/>
      <c r="CY239" s="111"/>
      <c r="CZ239" s="111"/>
      <c r="DA239" s="111"/>
      <c r="DB239" s="111"/>
      <c r="DC239" s="111"/>
      <c r="DD239" s="111"/>
      <c r="DE239" s="111"/>
      <c r="DF239" s="111"/>
      <c r="DG239" s="111"/>
      <c r="DH239" s="111"/>
      <c r="DI239" s="111"/>
      <c r="DJ239" s="111"/>
      <c r="DK239" s="111"/>
      <c r="DL239" s="111"/>
      <c r="DM239" s="111"/>
      <c r="DN239" s="111"/>
      <c r="DO239" s="111"/>
      <c r="DP239" s="111"/>
      <c r="DQ239" s="111"/>
      <c r="DR239" s="111"/>
      <c r="DS239" s="111"/>
      <c r="DT239" s="111"/>
      <c r="DU239" s="111"/>
      <c r="DV239" s="111"/>
      <c r="DW239" s="111"/>
      <c r="DX239" s="111"/>
      <c r="DY239" s="111"/>
      <c r="DZ239" s="111"/>
      <c r="EA239" s="111"/>
      <c r="EB239" s="111"/>
      <c r="EC239" s="111"/>
      <c r="ED239" s="111"/>
      <c r="EE239" s="111"/>
      <c r="EF239" s="111"/>
      <c r="EG239" s="111"/>
      <c r="EH239" s="111"/>
      <c r="EI239" s="111"/>
      <c r="EJ239" s="111"/>
      <c r="EK239" s="111"/>
      <c r="EL239" s="111"/>
      <c r="EM239" s="111"/>
      <c r="EN239" s="111"/>
      <c r="EO239" s="111"/>
      <c r="EP239" s="111"/>
      <c r="EQ239" s="111"/>
      <c r="ER239" s="111"/>
      <c r="ES239" s="111"/>
      <c r="ET239" s="111"/>
      <c r="EU239" s="111"/>
      <c r="EV239" s="111"/>
      <c r="EW239" s="111"/>
      <c r="EX239" s="111"/>
      <c r="EY239" s="111"/>
      <c r="EZ239" s="111"/>
      <c r="FA239" s="111"/>
      <c r="FB239" s="111"/>
      <c r="FC239" s="111"/>
      <c r="FD239" s="111"/>
      <c r="FE239" s="111"/>
      <c r="FF239" s="111"/>
      <c r="FG239" s="111"/>
      <c r="FH239" s="111"/>
      <c r="FI239" s="111"/>
      <c r="FJ239" s="111"/>
      <c r="FK239" s="111"/>
      <c r="FL239" s="111"/>
      <c r="FM239" s="111"/>
      <c r="FN239" s="111"/>
      <c r="FO239" s="111"/>
      <c r="FP239" s="111"/>
      <c r="FQ239" s="111"/>
      <c r="FR239" s="111"/>
      <c r="FS239" s="111"/>
      <c r="FT239" s="111"/>
      <c r="FU239" s="111"/>
      <c r="FV239" s="111"/>
      <c r="FW239" s="111"/>
      <c r="FX239" s="111"/>
      <c r="FY239" s="111"/>
      <c r="FZ239" s="111"/>
      <c r="GA239" s="111"/>
      <c r="GB239" s="111"/>
      <c r="GC239" s="111"/>
      <c r="GD239" s="111"/>
      <c r="GE239" s="111"/>
      <c r="GF239" s="111"/>
      <c r="GG239" s="111"/>
      <c r="GH239" s="111"/>
      <c r="GI239" s="111"/>
      <c r="GJ239" s="111"/>
      <c r="GK239" s="111"/>
      <c r="GL239" s="111"/>
      <c r="GM239" s="111"/>
      <c r="GN239" s="111"/>
      <c r="GO239" s="111"/>
      <c r="GP239" s="111"/>
      <c r="GQ239" s="111"/>
      <c r="GR239" s="111"/>
      <c r="GS239" s="111"/>
      <c r="GT239" s="111"/>
      <c r="GU239" s="111"/>
      <c r="GV239" s="111"/>
      <c r="GW239" s="111"/>
      <c r="GX239" s="111"/>
      <c r="GY239" s="111"/>
      <c r="GZ239" s="111"/>
      <c r="HA239" s="111"/>
      <c r="HB239" s="111"/>
      <c r="HC239" s="111"/>
      <c r="HD239" s="111"/>
      <c r="HE239" s="111"/>
      <c r="HF239" s="111"/>
      <c r="HG239" s="111"/>
      <c r="HH239" s="111"/>
      <c r="HI239" s="111"/>
      <c r="HJ239" s="111"/>
      <c r="HK239" s="111"/>
      <c r="HL239" s="111"/>
      <c r="HM239" s="111"/>
      <c r="HN239" s="111"/>
      <c r="HO239" s="111"/>
      <c r="HP239" s="111"/>
      <c r="HQ239" s="111"/>
      <c r="HR239" s="111"/>
      <c r="HS239" s="111"/>
    </row>
    <row r="240" spans="1:227" ht="36">
      <c r="A240" s="96" t="s">
        <v>323</v>
      </c>
      <c r="B240" s="15"/>
      <c r="C240" s="15"/>
      <c r="D240" s="15" t="s">
        <v>18</v>
      </c>
      <c r="E240" s="15"/>
      <c r="F240" s="15"/>
      <c r="H240" s="136" t="s">
        <v>469</v>
      </c>
      <c r="I240" s="477"/>
      <c r="J240" s="473" t="s">
        <v>503</v>
      </c>
      <c r="K240" s="478"/>
      <c r="L240" s="478"/>
      <c r="AO240" s="111"/>
      <c r="AP240" s="111"/>
      <c r="AQ240" s="111"/>
      <c r="AR240" s="111"/>
      <c r="AS240" s="111"/>
      <c r="AT240" s="111"/>
      <c r="AU240" s="111"/>
      <c r="AV240" s="111"/>
      <c r="AW240" s="111"/>
      <c r="AX240" s="111"/>
      <c r="AY240" s="111"/>
      <c r="AZ240" s="111"/>
      <c r="BA240" s="111"/>
      <c r="BB240" s="111"/>
      <c r="BC240" s="111"/>
      <c r="BD240" s="111"/>
      <c r="BE240" s="111"/>
      <c r="BF240" s="111"/>
      <c r="BG240" s="111"/>
      <c r="BH240" s="111"/>
      <c r="BI240" s="111"/>
      <c r="BJ240" s="111"/>
      <c r="BK240" s="111"/>
      <c r="BL240" s="111"/>
      <c r="BM240" s="111"/>
      <c r="BN240" s="111"/>
      <c r="BO240" s="111"/>
      <c r="BP240" s="111"/>
      <c r="BQ240" s="111"/>
      <c r="BR240" s="111"/>
      <c r="BS240" s="111"/>
      <c r="BT240" s="111"/>
      <c r="BU240" s="111"/>
      <c r="BV240" s="111"/>
      <c r="BW240" s="111"/>
      <c r="BX240" s="111"/>
      <c r="BY240" s="111"/>
      <c r="BZ240" s="111"/>
      <c r="CA240" s="111"/>
      <c r="CB240" s="111"/>
      <c r="CC240" s="111"/>
      <c r="CD240" s="111"/>
      <c r="CE240" s="111"/>
      <c r="CF240" s="111"/>
      <c r="CG240" s="111"/>
      <c r="CH240" s="111"/>
      <c r="CI240" s="111"/>
      <c r="CJ240" s="111"/>
      <c r="CK240" s="111"/>
      <c r="CL240" s="111"/>
      <c r="CM240" s="111"/>
      <c r="CN240" s="111"/>
      <c r="CO240" s="111"/>
      <c r="CP240" s="111"/>
      <c r="CQ240" s="111"/>
      <c r="CR240" s="111"/>
      <c r="CS240" s="111"/>
      <c r="CT240" s="111"/>
      <c r="CU240" s="111"/>
      <c r="CV240" s="111"/>
      <c r="CW240" s="111"/>
      <c r="CX240" s="111"/>
      <c r="CY240" s="111"/>
      <c r="CZ240" s="111"/>
      <c r="DA240" s="111"/>
      <c r="DB240" s="111"/>
      <c r="DC240" s="111"/>
      <c r="DD240" s="111"/>
      <c r="DE240" s="111"/>
      <c r="DF240" s="111"/>
      <c r="DG240" s="111"/>
      <c r="DH240" s="111"/>
      <c r="DI240" s="111"/>
      <c r="DJ240" s="111"/>
      <c r="DK240" s="111"/>
      <c r="DL240" s="111"/>
      <c r="DM240" s="111"/>
      <c r="DN240" s="111"/>
      <c r="DO240" s="111"/>
      <c r="DP240" s="111"/>
      <c r="DQ240" s="111"/>
      <c r="DR240" s="111"/>
      <c r="DS240" s="111"/>
      <c r="DT240" s="111"/>
      <c r="DU240" s="111"/>
      <c r="DV240" s="111"/>
      <c r="DW240" s="111"/>
      <c r="DX240" s="111"/>
      <c r="DY240" s="111"/>
      <c r="DZ240" s="111"/>
      <c r="EA240" s="111"/>
      <c r="EB240" s="111"/>
      <c r="EC240" s="111"/>
      <c r="ED240" s="111"/>
      <c r="EE240" s="111"/>
      <c r="EF240" s="111"/>
      <c r="EG240" s="111"/>
      <c r="EH240" s="111"/>
      <c r="EI240" s="111"/>
      <c r="EJ240" s="111"/>
      <c r="EK240" s="111"/>
      <c r="EL240" s="111"/>
      <c r="EM240" s="111"/>
      <c r="EN240" s="111"/>
      <c r="EO240" s="111"/>
      <c r="EP240" s="111"/>
      <c r="EQ240" s="111"/>
      <c r="ER240" s="111"/>
      <c r="ES240" s="111"/>
      <c r="ET240" s="111"/>
      <c r="EU240" s="111"/>
      <c r="EV240" s="111"/>
      <c r="EW240" s="111"/>
      <c r="EX240" s="111"/>
      <c r="EY240" s="111"/>
      <c r="EZ240" s="111"/>
      <c r="FA240" s="111"/>
      <c r="FB240" s="111"/>
      <c r="FC240" s="111"/>
      <c r="FD240" s="111"/>
      <c r="FE240" s="111"/>
      <c r="FF240" s="111"/>
      <c r="FG240" s="111"/>
      <c r="FH240" s="111"/>
      <c r="FI240" s="111"/>
      <c r="FJ240" s="111"/>
      <c r="FK240" s="111"/>
      <c r="FL240" s="111"/>
      <c r="FM240" s="111"/>
      <c r="FN240" s="111"/>
      <c r="FO240" s="111"/>
      <c r="FP240" s="111"/>
      <c r="FQ240" s="111"/>
      <c r="FR240" s="111"/>
      <c r="FS240" s="111"/>
      <c r="FT240" s="111"/>
      <c r="FU240" s="111"/>
      <c r="FV240" s="111"/>
      <c r="FW240" s="111"/>
      <c r="FX240" s="111"/>
      <c r="FY240" s="111"/>
      <c r="FZ240" s="111"/>
      <c r="GA240" s="111"/>
      <c r="GB240" s="111"/>
      <c r="GC240" s="111"/>
      <c r="GD240" s="111"/>
      <c r="GE240" s="111"/>
      <c r="GF240" s="111"/>
      <c r="GG240" s="111"/>
      <c r="GH240" s="111"/>
      <c r="GI240" s="111"/>
      <c r="GJ240" s="111"/>
      <c r="GK240" s="111"/>
      <c r="GL240" s="111"/>
      <c r="GM240" s="111"/>
      <c r="GN240" s="111"/>
      <c r="GO240" s="111"/>
      <c r="GP240" s="111"/>
      <c r="GQ240" s="111"/>
      <c r="GR240" s="111"/>
      <c r="GS240" s="111"/>
      <c r="GT240" s="111"/>
      <c r="GU240" s="111"/>
      <c r="GV240" s="111"/>
      <c r="GW240" s="111"/>
      <c r="GX240" s="111"/>
      <c r="GY240" s="111"/>
      <c r="GZ240" s="111"/>
      <c r="HA240" s="111"/>
      <c r="HB240" s="111"/>
      <c r="HC240" s="111"/>
      <c r="HD240" s="111"/>
      <c r="HE240" s="111"/>
      <c r="HF240" s="111"/>
      <c r="HG240" s="111"/>
      <c r="HH240" s="111"/>
      <c r="HI240" s="111"/>
      <c r="HJ240" s="111"/>
      <c r="HK240" s="111"/>
      <c r="HL240" s="111"/>
      <c r="HM240" s="111"/>
      <c r="HN240" s="111"/>
      <c r="HO240" s="111"/>
      <c r="HP240" s="111"/>
      <c r="HQ240" s="111"/>
      <c r="HR240" s="111"/>
      <c r="HS240" s="111"/>
    </row>
    <row r="241" spans="1:227" ht="18" customHeight="1">
      <c r="A241" s="96"/>
      <c r="B241" s="15"/>
      <c r="C241" s="15" t="s">
        <v>15</v>
      </c>
      <c r="D241" s="15"/>
      <c r="E241" s="15"/>
      <c r="F241" s="15"/>
      <c r="H241" s="136"/>
      <c r="I241" s="475"/>
      <c r="J241" s="474"/>
      <c r="K241" s="474"/>
      <c r="L241" s="474"/>
      <c r="AO241" s="111"/>
      <c r="AP241" s="111"/>
      <c r="AQ241" s="111"/>
      <c r="AR241" s="111"/>
      <c r="AS241" s="111"/>
      <c r="AT241" s="111"/>
      <c r="AU241" s="111"/>
      <c r="AV241" s="111"/>
      <c r="AW241" s="111"/>
      <c r="AX241" s="111"/>
      <c r="AY241" s="111"/>
      <c r="AZ241" s="111"/>
      <c r="BA241" s="111"/>
      <c r="BB241" s="111"/>
      <c r="BC241" s="111"/>
      <c r="BD241" s="111"/>
      <c r="BE241" s="111"/>
      <c r="BF241" s="111"/>
      <c r="BG241" s="111"/>
      <c r="BH241" s="111"/>
      <c r="BI241" s="111"/>
      <c r="BJ241" s="111"/>
      <c r="BK241" s="111"/>
      <c r="BL241" s="111"/>
      <c r="BM241" s="111"/>
      <c r="BN241" s="111"/>
      <c r="BO241" s="111"/>
      <c r="BP241" s="111"/>
      <c r="BQ241" s="111"/>
      <c r="BR241" s="111"/>
      <c r="BS241" s="111"/>
      <c r="BT241" s="111"/>
      <c r="BU241" s="111"/>
      <c r="BV241" s="111"/>
      <c r="BW241" s="111"/>
      <c r="BX241" s="111"/>
      <c r="BY241" s="111"/>
      <c r="BZ241" s="111"/>
      <c r="CA241" s="111"/>
      <c r="CB241" s="111"/>
      <c r="CC241" s="111"/>
      <c r="CD241" s="111"/>
      <c r="CE241" s="111"/>
      <c r="CF241" s="111"/>
      <c r="CG241" s="111"/>
      <c r="CH241" s="111"/>
      <c r="CI241" s="111"/>
      <c r="CJ241" s="111"/>
      <c r="CK241" s="111"/>
      <c r="CL241" s="111"/>
      <c r="CM241" s="111"/>
      <c r="CN241" s="111"/>
      <c r="CO241" s="111"/>
      <c r="CP241" s="111"/>
      <c r="CQ241" s="111"/>
      <c r="CR241" s="111"/>
      <c r="CS241" s="111"/>
      <c r="CT241" s="111"/>
      <c r="CU241" s="111"/>
      <c r="CV241" s="111"/>
      <c r="CW241" s="111"/>
      <c r="CX241" s="111"/>
      <c r="CY241" s="111"/>
      <c r="CZ241" s="111"/>
      <c r="DA241" s="111"/>
      <c r="DB241" s="111"/>
      <c r="DC241" s="111"/>
      <c r="DD241" s="111"/>
      <c r="DE241" s="111"/>
      <c r="DF241" s="111"/>
      <c r="DG241" s="111"/>
      <c r="DH241" s="111"/>
      <c r="DI241" s="111"/>
      <c r="DJ241" s="111"/>
      <c r="DK241" s="111"/>
      <c r="DL241" s="111"/>
      <c r="DM241" s="111"/>
      <c r="DN241" s="111"/>
      <c r="DO241" s="111"/>
      <c r="DP241" s="111"/>
      <c r="DQ241" s="111"/>
      <c r="DR241" s="111"/>
      <c r="DS241" s="111"/>
      <c r="DT241" s="111"/>
      <c r="DU241" s="111"/>
      <c r="DV241" s="111"/>
      <c r="DW241" s="111"/>
      <c r="DX241" s="111"/>
      <c r="DY241" s="111"/>
      <c r="DZ241" s="111"/>
      <c r="EA241" s="111"/>
      <c r="EB241" s="111"/>
      <c r="EC241" s="111"/>
      <c r="ED241" s="111"/>
      <c r="EE241" s="111"/>
      <c r="EF241" s="111"/>
      <c r="EG241" s="111"/>
      <c r="EH241" s="111"/>
      <c r="EI241" s="111"/>
      <c r="EJ241" s="111"/>
      <c r="EK241" s="111"/>
      <c r="EL241" s="111"/>
      <c r="EM241" s="111"/>
      <c r="EN241" s="111"/>
      <c r="EO241" s="111"/>
      <c r="EP241" s="111"/>
      <c r="EQ241" s="111"/>
      <c r="ER241" s="111"/>
      <c r="ES241" s="111"/>
      <c r="ET241" s="111"/>
      <c r="EU241" s="111"/>
      <c r="EV241" s="111"/>
      <c r="EW241" s="111"/>
      <c r="EX241" s="111"/>
      <c r="EY241" s="111"/>
      <c r="EZ241" s="111"/>
      <c r="FA241" s="111"/>
      <c r="FB241" s="111"/>
      <c r="FC241" s="111"/>
      <c r="FD241" s="111"/>
      <c r="FE241" s="111"/>
      <c r="FF241" s="111"/>
      <c r="FG241" s="111"/>
      <c r="FH241" s="111"/>
      <c r="FI241" s="111"/>
      <c r="FJ241" s="111"/>
      <c r="FK241" s="111"/>
      <c r="FL241" s="111"/>
      <c r="FM241" s="111"/>
      <c r="FN241" s="111"/>
      <c r="FO241" s="111"/>
      <c r="FP241" s="111"/>
      <c r="FQ241" s="111"/>
      <c r="FR241" s="111"/>
      <c r="FS241" s="111"/>
      <c r="FT241" s="111"/>
      <c r="FU241" s="111"/>
      <c r="FV241" s="111"/>
      <c r="FW241" s="111"/>
      <c r="FX241" s="111"/>
      <c r="FY241" s="111"/>
      <c r="FZ241" s="111"/>
      <c r="GA241" s="111"/>
      <c r="GB241" s="111"/>
      <c r="GC241" s="111"/>
      <c r="GD241" s="111"/>
      <c r="GE241" s="111"/>
      <c r="GF241" s="111"/>
      <c r="GG241" s="111"/>
      <c r="GH241" s="111"/>
      <c r="GI241" s="111"/>
      <c r="GJ241" s="111"/>
      <c r="GK241" s="111"/>
      <c r="GL241" s="111"/>
      <c r="GM241" s="111"/>
      <c r="GN241" s="111"/>
      <c r="GO241" s="111"/>
      <c r="GP241" s="111"/>
      <c r="GQ241" s="111"/>
      <c r="GR241" s="111"/>
      <c r="GS241" s="111"/>
      <c r="GT241" s="111"/>
      <c r="GU241" s="111"/>
      <c r="GV241" s="111"/>
      <c r="GW241" s="111"/>
      <c r="GX241" s="111"/>
      <c r="GY241" s="111"/>
      <c r="GZ241" s="111"/>
      <c r="HA241" s="111"/>
      <c r="HB241" s="111"/>
      <c r="HC241" s="111"/>
      <c r="HD241" s="111"/>
      <c r="HE241" s="111"/>
      <c r="HF241" s="111"/>
      <c r="HG241" s="111"/>
      <c r="HH241" s="111"/>
      <c r="HI241" s="111"/>
      <c r="HJ241" s="111"/>
      <c r="HK241" s="111"/>
      <c r="HL241" s="111"/>
      <c r="HM241" s="111"/>
      <c r="HN241" s="111"/>
      <c r="HO241" s="111"/>
      <c r="HP241" s="111"/>
      <c r="HQ241" s="111"/>
      <c r="HR241" s="111"/>
      <c r="HS241" s="111"/>
    </row>
    <row r="242" spans="1:227" ht="12">
      <c r="A242" s="96" t="s">
        <v>324</v>
      </c>
      <c r="B242" s="15"/>
      <c r="C242" s="15"/>
      <c r="D242" s="15" t="s">
        <v>17</v>
      </c>
      <c r="E242" s="15"/>
      <c r="F242" s="15"/>
      <c r="H242" s="127"/>
      <c r="I242" s="475"/>
      <c r="J242" s="474"/>
      <c r="K242" s="474"/>
      <c r="L242" s="474"/>
      <c r="AO242" s="111"/>
      <c r="AP242" s="111"/>
      <c r="AQ242" s="111"/>
      <c r="AR242" s="111"/>
      <c r="AS242" s="111"/>
      <c r="AT242" s="111"/>
      <c r="AU242" s="111"/>
      <c r="AV242" s="111"/>
      <c r="AW242" s="111"/>
      <c r="AX242" s="111"/>
      <c r="AY242" s="111"/>
      <c r="AZ242" s="111"/>
      <c r="BA242" s="111"/>
      <c r="BB242" s="111"/>
      <c r="BC242" s="111"/>
      <c r="BD242" s="111"/>
      <c r="BE242" s="111"/>
      <c r="BF242" s="111"/>
      <c r="BG242" s="111"/>
      <c r="BH242" s="111"/>
      <c r="BI242" s="111"/>
      <c r="BJ242" s="111"/>
      <c r="BK242" s="111"/>
      <c r="BL242" s="111"/>
      <c r="BM242" s="111"/>
      <c r="BN242" s="111"/>
      <c r="BO242" s="111"/>
      <c r="BP242" s="111"/>
      <c r="BQ242" s="111"/>
      <c r="BR242" s="111"/>
      <c r="BS242" s="111"/>
      <c r="BT242" s="111"/>
      <c r="BU242" s="111"/>
      <c r="BV242" s="111"/>
      <c r="BW242" s="111"/>
      <c r="BX242" s="111"/>
      <c r="BY242" s="111"/>
      <c r="BZ242" s="111"/>
      <c r="CA242" s="111"/>
      <c r="CB242" s="111"/>
      <c r="CC242" s="111"/>
      <c r="CD242" s="111"/>
      <c r="CE242" s="111"/>
      <c r="CF242" s="111"/>
      <c r="CG242" s="111"/>
      <c r="CH242" s="111"/>
      <c r="CI242" s="111"/>
      <c r="CJ242" s="111"/>
      <c r="CK242" s="111"/>
      <c r="CL242" s="111"/>
      <c r="CM242" s="111"/>
      <c r="CN242" s="111"/>
      <c r="CO242" s="111"/>
      <c r="CP242" s="111"/>
      <c r="CQ242" s="111"/>
      <c r="CR242" s="111"/>
      <c r="CS242" s="111"/>
      <c r="CT242" s="111"/>
      <c r="CU242" s="111"/>
      <c r="CV242" s="111"/>
      <c r="CW242" s="111"/>
      <c r="CX242" s="111"/>
      <c r="CY242" s="111"/>
      <c r="CZ242" s="111"/>
      <c r="DA242" s="111"/>
      <c r="DB242" s="111"/>
      <c r="DC242" s="111"/>
      <c r="DD242" s="111"/>
      <c r="DE242" s="111"/>
      <c r="DF242" s="111"/>
      <c r="DG242" s="111"/>
      <c r="DH242" s="111"/>
      <c r="DI242" s="111"/>
      <c r="DJ242" s="111"/>
      <c r="DK242" s="111"/>
      <c r="DL242" s="111"/>
      <c r="DM242" s="111"/>
      <c r="DN242" s="111"/>
      <c r="DO242" s="111"/>
      <c r="DP242" s="111"/>
      <c r="DQ242" s="111"/>
      <c r="DR242" s="111"/>
      <c r="DS242" s="111"/>
      <c r="DT242" s="111"/>
      <c r="DU242" s="111"/>
      <c r="DV242" s="111"/>
      <c r="DW242" s="111"/>
      <c r="DX242" s="111"/>
      <c r="DY242" s="111"/>
      <c r="DZ242" s="111"/>
      <c r="EA242" s="111"/>
      <c r="EB242" s="111"/>
      <c r="EC242" s="111"/>
      <c r="ED242" s="111"/>
      <c r="EE242" s="111"/>
      <c r="EF242" s="111"/>
      <c r="EG242" s="111"/>
      <c r="EH242" s="111"/>
      <c r="EI242" s="111"/>
      <c r="EJ242" s="111"/>
      <c r="EK242" s="111"/>
      <c r="EL242" s="111"/>
      <c r="EM242" s="111"/>
      <c r="EN242" s="111"/>
      <c r="EO242" s="111"/>
      <c r="EP242" s="111"/>
      <c r="EQ242" s="111"/>
      <c r="ER242" s="111"/>
      <c r="ES242" s="111"/>
      <c r="ET242" s="111"/>
      <c r="EU242" s="111"/>
      <c r="EV242" s="111"/>
      <c r="EW242" s="111"/>
      <c r="EX242" s="111"/>
      <c r="EY242" s="111"/>
      <c r="EZ242" s="111"/>
      <c r="FA242" s="111"/>
      <c r="FB242" s="111"/>
      <c r="FC242" s="111"/>
      <c r="FD242" s="111"/>
      <c r="FE242" s="111"/>
      <c r="FF242" s="111"/>
      <c r="FG242" s="111"/>
      <c r="FH242" s="111"/>
      <c r="FI242" s="111"/>
      <c r="FJ242" s="111"/>
      <c r="FK242" s="111"/>
      <c r="FL242" s="111"/>
      <c r="FM242" s="111"/>
      <c r="FN242" s="111"/>
      <c r="FO242" s="111"/>
      <c r="FP242" s="111"/>
      <c r="FQ242" s="111"/>
      <c r="FR242" s="111"/>
      <c r="FS242" s="111"/>
      <c r="FT242" s="111"/>
      <c r="FU242" s="111"/>
      <c r="FV242" s="111"/>
      <c r="FW242" s="111"/>
      <c r="FX242" s="111"/>
      <c r="FY242" s="111"/>
      <c r="FZ242" s="111"/>
      <c r="GA242" s="111"/>
      <c r="GB242" s="111"/>
      <c r="GC242" s="111"/>
      <c r="GD242" s="111"/>
      <c r="GE242" s="111"/>
      <c r="GF242" s="111"/>
      <c r="GG242" s="111"/>
      <c r="GH242" s="111"/>
      <c r="GI242" s="111"/>
      <c r="GJ242" s="111"/>
      <c r="GK242" s="111"/>
      <c r="GL242" s="111"/>
      <c r="GM242" s="111"/>
      <c r="GN242" s="111"/>
      <c r="GO242" s="111"/>
      <c r="GP242" s="111"/>
      <c r="GQ242" s="111"/>
      <c r="GR242" s="111"/>
      <c r="GS242" s="111"/>
      <c r="GT242" s="111"/>
      <c r="GU242" s="111"/>
      <c r="GV242" s="111"/>
      <c r="GW242" s="111"/>
      <c r="GX242" s="111"/>
      <c r="GY242" s="111"/>
      <c r="GZ242" s="111"/>
      <c r="HA242" s="111"/>
      <c r="HB242" s="111"/>
      <c r="HC242" s="111"/>
      <c r="HD242" s="111"/>
      <c r="HE242" s="111"/>
      <c r="HF242" s="111"/>
      <c r="HG242" s="111"/>
      <c r="HH242" s="111"/>
      <c r="HI242" s="111"/>
      <c r="HJ242" s="111"/>
      <c r="HK242" s="111"/>
      <c r="HL242" s="111"/>
      <c r="HM242" s="111"/>
      <c r="HN242" s="111"/>
      <c r="HO242" s="111"/>
      <c r="HP242" s="111"/>
      <c r="HQ242" s="111"/>
      <c r="HR242" s="111"/>
      <c r="HS242" s="111"/>
    </row>
    <row r="243" spans="1:227" ht="12">
      <c r="A243" s="96" t="s">
        <v>325</v>
      </c>
      <c r="B243" s="15"/>
      <c r="C243" s="15"/>
      <c r="D243" s="15" t="s">
        <v>19</v>
      </c>
      <c r="E243" s="15"/>
      <c r="F243" s="15"/>
      <c r="H243" s="136"/>
      <c r="I243" s="475"/>
      <c r="J243" s="474"/>
      <c r="K243" s="474"/>
      <c r="L243" s="474"/>
      <c r="AO243" s="111"/>
      <c r="AP243" s="111"/>
      <c r="AQ243" s="111"/>
      <c r="AR243" s="111"/>
      <c r="AS243" s="111"/>
      <c r="AT243" s="111"/>
      <c r="AU243" s="111"/>
      <c r="AV243" s="111"/>
      <c r="AW243" s="111"/>
      <c r="AX243" s="111"/>
      <c r="AY243" s="111"/>
      <c r="AZ243" s="111"/>
      <c r="BA243" s="111"/>
      <c r="BB243" s="111"/>
      <c r="BC243" s="111"/>
      <c r="BD243" s="111"/>
      <c r="BE243" s="111"/>
      <c r="BF243" s="111"/>
      <c r="BG243" s="111"/>
      <c r="BH243" s="111"/>
      <c r="BI243" s="111"/>
      <c r="BJ243" s="111"/>
      <c r="BK243" s="111"/>
      <c r="BL243" s="111"/>
      <c r="BM243" s="111"/>
      <c r="BN243" s="111"/>
      <c r="BO243" s="111"/>
      <c r="BP243" s="111"/>
      <c r="BQ243" s="111"/>
      <c r="BR243" s="111"/>
      <c r="BS243" s="111"/>
      <c r="BT243" s="111"/>
      <c r="BU243" s="111"/>
      <c r="BV243" s="111"/>
      <c r="BW243" s="111"/>
      <c r="BX243" s="111"/>
      <c r="BY243" s="111"/>
      <c r="BZ243" s="111"/>
      <c r="CA243" s="111"/>
      <c r="CB243" s="111"/>
      <c r="CC243" s="111"/>
      <c r="CD243" s="111"/>
      <c r="CE243" s="111"/>
      <c r="CF243" s="111"/>
      <c r="CG243" s="111"/>
      <c r="CH243" s="111"/>
      <c r="CI243" s="111"/>
      <c r="CJ243" s="111"/>
      <c r="CK243" s="111"/>
      <c r="CL243" s="111"/>
      <c r="CM243" s="111"/>
      <c r="CN243" s="111"/>
      <c r="CO243" s="111"/>
      <c r="CP243" s="111"/>
      <c r="CQ243" s="111"/>
      <c r="CR243" s="111"/>
      <c r="CS243" s="111"/>
      <c r="CT243" s="111"/>
      <c r="CU243" s="111"/>
      <c r="CV243" s="111"/>
      <c r="CW243" s="111"/>
      <c r="CX243" s="111"/>
      <c r="CY243" s="111"/>
      <c r="CZ243" s="111"/>
      <c r="DA243" s="111"/>
      <c r="DB243" s="111"/>
      <c r="DC243" s="111"/>
      <c r="DD243" s="111"/>
      <c r="DE243" s="111"/>
      <c r="DF243" s="111"/>
      <c r="DG243" s="111"/>
      <c r="DH243" s="111"/>
      <c r="DI243" s="111"/>
      <c r="DJ243" s="111"/>
      <c r="DK243" s="111"/>
      <c r="DL243" s="111"/>
      <c r="DM243" s="111"/>
      <c r="DN243" s="111"/>
      <c r="DO243" s="111"/>
      <c r="DP243" s="111"/>
      <c r="DQ243" s="111"/>
      <c r="DR243" s="111"/>
      <c r="DS243" s="111"/>
      <c r="DT243" s="111"/>
      <c r="DU243" s="111"/>
      <c r="DV243" s="111"/>
      <c r="DW243" s="111"/>
      <c r="DX243" s="111"/>
      <c r="DY243" s="111"/>
      <c r="DZ243" s="111"/>
      <c r="EA243" s="111"/>
      <c r="EB243" s="111"/>
      <c r="EC243" s="111"/>
      <c r="ED243" s="111"/>
      <c r="EE243" s="111"/>
      <c r="EF243" s="111"/>
      <c r="EG243" s="111"/>
      <c r="EH243" s="111"/>
      <c r="EI243" s="111"/>
      <c r="EJ243" s="111"/>
      <c r="EK243" s="111"/>
      <c r="EL243" s="111"/>
      <c r="EM243" s="111"/>
      <c r="EN243" s="111"/>
      <c r="EO243" s="111"/>
      <c r="EP243" s="111"/>
      <c r="EQ243" s="111"/>
      <c r="ER243" s="111"/>
      <c r="ES243" s="111"/>
      <c r="ET243" s="111"/>
      <c r="EU243" s="111"/>
      <c r="EV243" s="111"/>
      <c r="EW243" s="111"/>
      <c r="EX243" s="111"/>
      <c r="EY243" s="111"/>
      <c r="EZ243" s="111"/>
      <c r="FA243" s="111"/>
      <c r="FB243" s="111"/>
      <c r="FC243" s="111"/>
      <c r="FD243" s="111"/>
      <c r="FE243" s="111"/>
      <c r="FF243" s="111"/>
      <c r="FG243" s="111"/>
      <c r="FH243" s="111"/>
      <c r="FI243" s="111"/>
      <c r="FJ243" s="111"/>
      <c r="FK243" s="111"/>
      <c r="FL243" s="111"/>
      <c r="FM243" s="111"/>
      <c r="FN243" s="111"/>
      <c r="FO243" s="111"/>
      <c r="FP243" s="111"/>
      <c r="FQ243" s="111"/>
      <c r="FR243" s="111"/>
      <c r="FS243" s="111"/>
      <c r="FT243" s="111"/>
      <c r="FU243" s="111"/>
      <c r="FV243" s="111"/>
      <c r="FW243" s="111"/>
      <c r="FX243" s="111"/>
      <c r="FY243" s="111"/>
      <c r="FZ243" s="111"/>
      <c r="GA243" s="111"/>
      <c r="GB243" s="111"/>
      <c r="GC243" s="111"/>
      <c r="GD243" s="111"/>
      <c r="GE243" s="111"/>
      <c r="GF243" s="111"/>
      <c r="GG243" s="111"/>
      <c r="GH243" s="111"/>
      <c r="GI243" s="111"/>
      <c r="GJ243" s="111"/>
      <c r="GK243" s="111"/>
      <c r="GL243" s="111"/>
      <c r="GM243" s="111"/>
      <c r="GN243" s="111"/>
      <c r="GO243" s="111"/>
      <c r="GP243" s="111"/>
      <c r="GQ243" s="111"/>
      <c r="GR243" s="111"/>
      <c r="GS243" s="111"/>
      <c r="GT243" s="111"/>
      <c r="GU243" s="111"/>
      <c r="GV243" s="111"/>
      <c r="GW243" s="111"/>
      <c r="GX243" s="111"/>
      <c r="GY243" s="111"/>
      <c r="GZ243" s="111"/>
      <c r="HA243" s="111"/>
      <c r="HB243" s="111"/>
      <c r="HC243" s="111"/>
      <c r="HD243" s="111"/>
      <c r="HE243" s="111"/>
      <c r="HF243" s="111"/>
      <c r="HG243" s="111"/>
      <c r="HH243" s="111"/>
      <c r="HI243" s="111"/>
      <c r="HJ243" s="111"/>
      <c r="HK243" s="111"/>
      <c r="HL243" s="111"/>
      <c r="HM243" s="111"/>
      <c r="HN243" s="111"/>
      <c r="HO243" s="111"/>
      <c r="HP243" s="111"/>
      <c r="HQ243" s="111"/>
      <c r="HR243" s="111"/>
      <c r="HS243" s="111"/>
    </row>
    <row r="244" spans="1:227" ht="12">
      <c r="A244" s="96"/>
      <c r="B244" s="15"/>
      <c r="C244" s="15" t="s">
        <v>20</v>
      </c>
      <c r="D244" s="15"/>
      <c r="E244" s="15"/>
      <c r="F244" s="15"/>
      <c r="H244" s="121"/>
      <c r="I244" s="475"/>
      <c r="J244" s="474"/>
      <c r="K244" s="474"/>
      <c r="L244" s="474"/>
      <c r="AO244" s="111"/>
      <c r="AP244" s="111"/>
      <c r="AQ244" s="111"/>
      <c r="AR244" s="111"/>
      <c r="AS244" s="111"/>
      <c r="AT244" s="111"/>
      <c r="AU244" s="111"/>
      <c r="AV244" s="111"/>
      <c r="AW244" s="111"/>
      <c r="AX244" s="111"/>
      <c r="AY244" s="111"/>
      <c r="AZ244" s="111"/>
      <c r="BA244" s="111"/>
      <c r="BB244" s="111"/>
      <c r="BC244" s="111"/>
      <c r="BD244" s="111"/>
      <c r="BE244" s="111"/>
      <c r="BF244" s="111"/>
      <c r="BG244" s="111"/>
      <c r="BH244" s="111"/>
      <c r="BI244" s="111"/>
      <c r="BJ244" s="111"/>
      <c r="BK244" s="111"/>
      <c r="BL244" s="111"/>
      <c r="BM244" s="111"/>
      <c r="BN244" s="111"/>
      <c r="BO244" s="111"/>
      <c r="BP244" s="111"/>
      <c r="BQ244" s="111"/>
      <c r="BR244" s="111"/>
      <c r="BS244" s="111"/>
      <c r="BT244" s="111"/>
      <c r="BU244" s="111"/>
      <c r="BV244" s="111"/>
      <c r="BW244" s="111"/>
      <c r="BX244" s="111"/>
      <c r="BY244" s="111"/>
      <c r="BZ244" s="111"/>
      <c r="CA244" s="111"/>
      <c r="CB244" s="111"/>
      <c r="CC244" s="111"/>
      <c r="CD244" s="111"/>
      <c r="CE244" s="111"/>
      <c r="CF244" s="111"/>
      <c r="CG244" s="111"/>
      <c r="CH244" s="111"/>
      <c r="CI244" s="111"/>
      <c r="CJ244" s="111"/>
      <c r="CK244" s="111"/>
      <c r="CL244" s="111"/>
      <c r="CM244" s="111"/>
      <c r="CN244" s="111"/>
      <c r="CO244" s="111"/>
      <c r="CP244" s="111"/>
      <c r="CQ244" s="111"/>
      <c r="CR244" s="111"/>
      <c r="CS244" s="111"/>
      <c r="CT244" s="111"/>
      <c r="CU244" s="111"/>
      <c r="CV244" s="111"/>
      <c r="CW244" s="111"/>
      <c r="CX244" s="111"/>
      <c r="CY244" s="111"/>
      <c r="CZ244" s="111"/>
      <c r="DA244" s="111"/>
      <c r="DB244" s="111"/>
      <c r="DC244" s="111"/>
      <c r="DD244" s="111"/>
      <c r="DE244" s="111"/>
      <c r="DF244" s="111"/>
      <c r="DG244" s="111"/>
      <c r="DH244" s="111"/>
      <c r="DI244" s="111"/>
      <c r="DJ244" s="111"/>
      <c r="DK244" s="111"/>
      <c r="DL244" s="111"/>
      <c r="DM244" s="111"/>
      <c r="DN244" s="111"/>
      <c r="DO244" s="111"/>
      <c r="DP244" s="111"/>
      <c r="DQ244" s="111"/>
      <c r="DR244" s="111"/>
      <c r="DS244" s="111"/>
      <c r="DT244" s="111"/>
      <c r="DU244" s="111"/>
      <c r="DV244" s="111"/>
      <c r="DW244" s="111"/>
      <c r="DX244" s="111"/>
      <c r="DY244" s="111"/>
      <c r="DZ244" s="111"/>
      <c r="EA244" s="111"/>
      <c r="EB244" s="111"/>
      <c r="EC244" s="111"/>
      <c r="ED244" s="111"/>
      <c r="EE244" s="111"/>
      <c r="EF244" s="111"/>
      <c r="EG244" s="111"/>
      <c r="EH244" s="111"/>
      <c r="EI244" s="111"/>
      <c r="EJ244" s="111"/>
      <c r="EK244" s="111"/>
      <c r="EL244" s="111"/>
      <c r="EM244" s="111"/>
      <c r="EN244" s="111"/>
      <c r="EO244" s="111"/>
      <c r="EP244" s="111"/>
      <c r="EQ244" s="111"/>
      <c r="ER244" s="111"/>
      <c r="ES244" s="111"/>
      <c r="ET244" s="111"/>
      <c r="EU244" s="111"/>
      <c r="EV244" s="111"/>
      <c r="EW244" s="111"/>
      <c r="EX244" s="111"/>
      <c r="EY244" s="111"/>
      <c r="EZ244" s="111"/>
      <c r="FA244" s="111"/>
      <c r="FB244" s="111"/>
      <c r="FC244" s="111"/>
      <c r="FD244" s="111"/>
      <c r="FE244" s="111"/>
      <c r="FF244" s="111"/>
      <c r="FG244" s="111"/>
      <c r="FH244" s="111"/>
      <c r="FI244" s="111"/>
      <c r="FJ244" s="111"/>
      <c r="FK244" s="111"/>
      <c r="FL244" s="111"/>
      <c r="FM244" s="111"/>
      <c r="FN244" s="111"/>
      <c r="FO244" s="111"/>
      <c r="FP244" s="111"/>
      <c r="FQ244" s="111"/>
      <c r="FR244" s="111"/>
      <c r="FS244" s="111"/>
      <c r="FT244" s="111"/>
      <c r="FU244" s="111"/>
      <c r="FV244" s="111"/>
      <c r="FW244" s="111"/>
      <c r="FX244" s="111"/>
      <c r="FY244" s="111"/>
      <c r="FZ244" s="111"/>
      <c r="GA244" s="111"/>
      <c r="GB244" s="111"/>
      <c r="GC244" s="111"/>
      <c r="GD244" s="111"/>
      <c r="GE244" s="111"/>
      <c r="GF244" s="111"/>
      <c r="GG244" s="111"/>
      <c r="GH244" s="111"/>
      <c r="GI244" s="111"/>
      <c r="GJ244" s="111"/>
      <c r="GK244" s="111"/>
      <c r="GL244" s="111"/>
      <c r="GM244" s="111"/>
      <c r="GN244" s="111"/>
      <c r="GO244" s="111"/>
      <c r="GP244" s="111"/>
      <c r="GQ244" s="111"/>
      <c r="GR244" s="111"/>
      <c r="GS244" s="111"/>
      <c r="GT244" s="111"/>
      <c r="GU244" s="111"/>
      <c r="GV244" s="111"/>
      <c r="GW244" s="111"/>
      <c r="GX244" s="111"/>
      <c r="GY244" s="111"/>
      <c r="GZ244" s="111"/>
      <c r="HA244" s="111"/>
      <c r="HB244" s="111"/>
      <c r="HC244" s="111"/>
      <c r="HD244" s="111"/>
      <c r="HE244" s="111"/>
      <c r="HF244" s="111"/>
      <c r="HG244" s="111"/>
      <c r="HH244" s="111"/>
      <c r="HI244" s="111"/>
      <c r="HJ244" s="111"/>
      <c r="HK244" s="111"/>
      <c r="HL244" s="111"/>
      <c r="HM244" s="111"/>
      <c r="HN244" s="111"/>
      <c r="HO244" s="111"/>
      <c r="HP244" s="111"/>
      <c r="HQ244" s="111"/>
      <c r="HR244" s="111"/>
      <c r="HS244" s="111"/>
    </row>
    <row r="245" spans="1:227" ht="12">
      <c r="A245" s="96"/>
      <c r="B245" s="15" t="s">
        <v>199</v>
      </c>
      <c r="C245" s="15"/>
      <c r="D245" s="15"/>
      <c r="E245" s="15"/>
      <c r="F245" s="15"/>
      <c r="H245" s="121"/>
      <c r="I245" s="475"/>
      <c r="J245" s="474"/>
      <c r="K245" s="474"/>
      <c r="L245" s="474"/>
      <c r="AO245" s="111"/>
      <c r="AP245" s="111"/>
      <c r="AQ245" s="111"/>
      <c r="AR245" s="111"/>
      <c r="AS245" s="111"/>
      <c r="AT245" s="111"/>
      <c r="AU245" s="111"/>
      <c r="AV245" s="111"/>
      <c r="AW245" s="111"/>
      <c r="AX245" s="111"/>
      <c r="AY245" s="111"/>
      <c r="AZ245" s="111"/>
      <c r="BA245" s="111"/>
      <c r="BB245" s="111"/>
      <c r="BC245" s="111"/>
      <c r="BD245" s="111"/>
      <c r="BE245" s="111"/>
      <c r="BF245" s="111"/>
      <c r="BG245" s="111"/>
      <c r="BH245" s="111"/>
      <c r="BI245" s="111"/>
      <c r="BJ245" s="111"/>
      <c r="BK245" s="111"/>
      <c r="BL245" s="111"/>
      <c r="BM245" s="111"/>
      <c r="BN245" s="111"/>
      <c r="BO245" s="111"/>
      <c r="BP245" s="111"/>
      <c r="BQ245" s="111"/>
      <c r="BR245" s="111"/>
      <c r="BS245" s="111"/>
      <c r="BT245" s="111"/>
      <c r="BU245" s="111"/>
      <c r="BV245" s="111"/>
      <c r="BW245" s="111"/>
      <c r="BX245" s="111"/>
      <c r="BY245" s="111"/>
      <c r="BZ245" s="111"/>
      <c r="CA245" s="111"/>
      <c r="CB245" s="111"/>
      <c r="CC245" s="111"/>
      <c r="CD245" s="111"/>
      <c r="CE245" s="111"/>
      <c r="CF245" s="111"/>
      <c r="CG245" s="111"/>
      <c r="CH245" s="111"/>
      <c r="CI245" s="111"/>
      <c r="CJ245" s="111"/>
      <c r="CK245" s="111"/>
      <c r="CL245" s="111"/>
      <c r="CM245" s="111"/>
      <c r="CN245" s="111"/>
      <c r="CO245" s="111"/>
      <c r="CP245" s="111"/>
      <c r="CQ245" s="111"/>
      <c r="CR245" s="111"/>
      <c r="CS245" s="111"/>
      <c r="CT245" s="111"/>
      <c r="CU245" s="111"/>
      <c r="CV245" s="111"/>
      <c r="CW245" s="111"/>
      <c r="CX245" s="111"/>
      <c r="CY245" s="111"/>
      <c r="CZ245" s="111"/>
      <c r="DA245" s="111"/>
      <c r="DB245" s="111"/>
      <c r="DC245" s="111"/>
      <c r="DD245" s="111"/>
      <c r="DE245" s="111"/>
      <c r="DF245" s="111"/>
      <c r="DG245" s="111"/>
      <c r="DH245" s="111"/>
      <c r="DI245" s="111"/>
      <c r="DJ245" s="111"/>
      <c r="DK245" s="111"/>
      <c r="DL245" s="111"/>
      <c r="DM245" s="111"/>
      <c r="DN245" s="111"/>
      <c r="DO245" s="111"/>
      <c r="DP245" s="111"/>
      <c r="DQ245" s="111"/>
      <c r="DR245" s="111"/>
      <c r="DS245" s="111"/>
      <c r="DT245" s="111"/>
      <c r="DU245" s="111"/>
      <c r="DV245" s="111"/>
      <c r="DW245" s="111"/>
      <c r="DX245" s="111"/>
      <c r="DY245" s="111"/>
      <c r="DZ245" s="111"/>
      <c r="EA245" s="111"/>
      <c r="EB245" s="111"/>
      <c r="EC245" s="111"/>
      <c r="ED245" s="111"/>
      <c r="EE245" s="111"/>
      <c r="EF245" s="111"/>
      <c r="EG245" s="111"/>
      <c r="EH245" s="111"/>
      <c r="EI245" s="111"/>
      <c r="EJ245" s="111"/>
      <c r="EK245" s="111"/>
      <c r="EL245" s="111"/>
      <c r="EM245" s="111"/>
      <c r="EN245" s="111"/>
      <c r="EO245" s="111"/>
      <c r="EP245" s="111"/>
      <c r="EQ245" s="111"/>
      <c r="ER245" s="111"/>
      <c r="ES245" s="111"/>
      <c r="ET245" s="111"/>
      <c r="EU245" s="111"/>
      <c r="EV245" s="111"/>
      <c r="EW245" s="111"/>
      <c r="EX245" s="111"/>
      <c r="EY245" s="111"/>
      <c r="EZ245" s="111"/>
      <c r="FA245" s="111"/>
      <c r="FB245" s="111"/>
      <c r="FC245" s="111"/>
      <c r="FD245" s="111"/>
      <c r="FE245" s="111"/>
      <c r="FF245" s="111"/>
      <c r="FG245" s="111"/>
      <c r="FH245" s="111"/>
      <c r="FI245" s="111"/>
      <c r="FJ245" s="111"/>
      <c r="FK245" s="111"/>
      <c r="FL245" s="111"/>
      <c r="FM245" s="111"/>
      <c r="FN245" s="111"/>
      <c r="FO245" s="111"/>
      <c r="FP245" s="111"/>
      <c r="FQ245" s="111"/>
      <c r="FR245" s="111"/>
      <c r="FS245" s="111"/>
      <c r="FT245" s="111"/>
      <c r="FU245" s="111"/>
      <c r="FV245" s="111"/>
      <c r="FW245" s="111"/>
      <c r="FX245" s="111"/>
      <c r="FY245" s="111"/>
      <c r="FZ245" s="111"/>
      <c r="GA245" s="111"/>
      <c r="GB245" s="111"/>
      <c r="GC245" s="111"/>
      <c r="GD245" s="111"/>
      <c r="GE245" s="111"/>
      <c r="GF245" s="111"/>
      <c r="GG245" s="111"/>
      <c r="GH245" s="111"/>
      <c r="GI245" s="111"/>
      <c r="GJ245" s="111"/>
      <c r="GK245" s="111"/>
      <c r="GL245" s="111"/>
      <c r="GM245" s="111"/>
      <c r="GN245" s="111"/>
      <c r="GO245" s="111"/>
      <c r="GP245" s="111"/>
      <c r="GQ245" s="111"/>
      <c r="GR245" s="111"/>
      <c r="GS245" s="111"/>
      <c r="GT245" s="111"/>
      <c r="GU245" s="111"/>
      <c r="GV245" s="111"/>
      <c r="GW245" s="111"/>
      <c r="GX245" s="111"/>
      <c r="GY245" s="111"/>
      <c r="GZ245" s="111"/>
      <c r="HA245" s="111"/>
      <c r="HB245" s="111"/>
      <c r="HC245" s="111"/>
      <c r="HD245" s="111"/>
      <c r="HE245" s="111"/>
      <c r="HF245" s="111"/>
      <c r="HG245" s="111"/>
      <c r="HH245" s="111"/>
      <c r="HI245" s="111"/>
      <c r="HJ245" s="111"/>
      <c r="HK245" s="111"/>
      <c r="HL245" s="111"/>
      <c r="HM245" s="111"/>
      <c r="HN245" s="111"/>
      <c r="HO245" s="111"/>
      <c r="HP245" s="111"/>
      <c r="HQ245" s="111"/>
      <c r="HR245" s="111"/>
      <c r="HS245" s="111"/>
    </row>
    <row r="246" spans="1:227" ht="12">
      <c r="A246" s="354"/>
      <c r="H246" s="121"/>
      <c r="I246" s="475"/>
      <c r="J246" s="474"/>
      <c r="K246" s="474"/>
      <c r="L246" s="474"/>
      <c r="AO246" s="111"/>
      <c r="AP246" s="111"/>
      <c r="AQ246" s="111"/>
      <c r="AR246" s="111"/>
      <c r="AS246" s="111"/>
      <c r="AT246" s="111"/>
      <c r="AU246" s="111"/>
      <c r="AV246" s="111"/>
      <c r="AW246" s="111"/>
      <c r="AX246" s="111"/>
      <c r="AY246" s="111"/>
      <c r="AZ246" s="111"/>
      <c r="BA246" s="111"/>
      <c r="BB246" s="111"/>
      <c r="BC246" s="111"/>
      <c r="BD246" s="111"/>
      <c r="BE246" s="111"/>
      <c r="BF246" s="111"/>
      <c r="BG246" s="111"/>
      <c r="BH246" s="111"/>
      <c r="BI246" s="111"/>
      <c r="BJ246" s="111"/>
      <c r="BK246" s="111"/>
      <c r="BL246" s="111"/>
      <c r="BM246" s="111"/>
      <c r="BN246" s="111"/>
      <c r="BO246" s="111"/>
      <c r="BP246" s="111"/>
      <c r="BQ246" s="111"/>
      <c r="BR246" s="111"/>
      <c r="BS246" s="111"/>
      <c r="BT246" s="111"/>
      <c r="BU246" s="111"/>
      <c r="BV246" s="111"/>
      <c r="BW246" s="111"/>
      <c r="BX246" s="111"/>
      <c r="BY246" s="111"/>
      <c r="BZ246" s="111"/>
      <c r="CA246" s="111"/>
      <c r="CB246" s="111"/>
      <c r="CC246" s="111"/>
      <c r="CD246" s="111"/>
      <c r="CE246" s="111"/>
      <c r="CF246" s="111"/>
      <c r="CG246" s="111"/>
      <c r="CH246" s="111"/>
      <c r="CI246" s="111"/>
      <c r="CJ246" s="111"/>
      <c r="CK246" s="111"/>
      <c r="CL246" s="111"/>
      <c r="CM246" s="111"/>
      <c r="CN246" s="111"/>
      <c r="CO246" s="111"/>
      <c r="CP246" s="111"/>
      <c r="CQ246" s="111"/>
      <c r="CR246" s="111"/>
      <c r="CS246" s="111"/>
      <c r="CT246" s="111"/>
      <c r="CU246" s="111"/>
      <c r="CV246" s="111"/>
      <c r="CW246" s="111"/>
      <c r="CX246" s="111"/>
      <c r="CY246" s="111"/>
      <c r="CZ246" s="111"/>
      <c r="DA246" s="111"/>
      <c r="DB246" s="111"/>
      <c r="DC246" s="111"/>
      <c r="DD246" s="111"/>
      <c r="DE246" s="111"/>
      <c r="DF246" s="111"/>
      <c r="DG246" s="111"/>
      <c r="DH246" s="111"/>
      <c r="DI246" s="111"/>
      <c r="DJ246" s="111"/>
      <c r="DK246" s="111"/>
      <c r="DL246" s="111"/>
      <c r="DM246" s="111"/>
      <c r="DN246" s="111"/>
      <c r="DO246" s="111"/>
      <c r="DP246" s="111"/>
      <c r="DQ246" s="111"/>
      <c r="DR246" s="111"/>
      <c r="DS246" s="111"/>
      <c r="DT246" s="111"/>
      <c r="DU246" s="111"/>
      <c r="DV246" s="111"/>
      <c r="DW246" s="111"/>
      <c r="DX246" s="111"/>
      <c r="DY246" s="111"/>
      <c r="DZ246" s="111"/>
      <c r="EA246" s="111"/>
      <c r="EB246" s="111"/>
      <c r="EC246" s="111"/>
      <c r="ED246" s="111"/>
      <c r="EE246" s="111"/>
      <c r="EF246" s="111"/>
      <c r="EG246" s="111"/>
      <c r="EH246" s="111"/>
      <c r="EI246" s="111"/>
      <c r="EJ246" s="111"/>
      <c r="EK246" s="111"/>
      <c r="EL246" s="111"/>
      <c r="EM246" s="111"/>
      <c r="EN246" s="111"/>
      <c r="EO246" s="111"/>
      <c r="EP246" s="111"/>
      <c r="EQ246" s="111"/>
      <c r="ER246" s="111"/>
      <c r="ES246" s="111"/>
      <c r="ET246" s="111"/>
      <c r="EU246" s="111"/>
      <c r="EV246" s="111"/>
      <c r="EW246" s="111"/>
      <c r="EX246" s="111"/>
      <c r="EY246" s="111"/>
      <c r="EZ246" s="111"/>
      <c r="FA246" s="111"/>
      <c r="FB246" s="111"/>
      <c r="FC246" s="111"/>
      <c r="FD246" s="111"/>
      <c r="FE246" s="111"/>
      <c r="FF246" s="111"/>
      <c r="FG246" s="111"/>
      <c r="FH246" s="111"/>
      <c r="FI246" s="111"/>
      <c r="FJ246" s="111"/>
      <c r="FK246" s="111"/>
      <c r="FL246" s="111"/>
      <c r="FM246" s="111"/>
      <c r="FN246" s="111"/>
      <c r="FO246" s="111"/>
      <c r="FP246" s="111"/>
      <c r="FQ246" s="111"/>
      <c r="FR246" s="111"/>
      <c r="FS246" s="111"/>
      <c r="FT246" s="111"/>
      <c r="FU246" s="111"/>
      <c r="FV246" s="111"/>
      <c r="FW246" s="111"/>
      <c r="FX246" s="111"/>
      <c r="FY246" s="111"/>
      <c r="FZ246" s="111"/>
      <c r="GA246" s="111"/>
      <c r="GB246" s="111"/>
      <c r="GC246" s="111"/>
      <c r="GD246" s="111"/>
      <c r="GE246" s="111"/>
      <c r="GF246" s="111"/>
      <c r="GG246" s="111"/>
      <c r="GH246" s="111"/>
      <c r="GI246" s="111"/>
      <c r="GJ246" s="111"/>
      <c r="GK246" s="111"/>
      <c r="GL246" s="111"/>
      <c r="GM246" s="111"/>
      <c r="GN246" s="111"/>
      <c r="GO246" s="111"/>
      <c r="GP246" s="111"/>
      <c r="GQ246" s="111"/>
      <c r="GR246" s="111"/>
      <c r="GS246" s="111"/>
      <c r="GT246" s="111"/>
      <c r="GU246" s="111"/>
      <c r="GV246" s="111"/>
      <c r="GW246" s="111"/>
      <c r="GX246" s="111"/>
      <c r="GY246" s="111"/>
      <c r="GZ246" s="111"/>
      <c r="HA246" s="111"/>
      <c r="HB246" s="111"/>
      <c r="HC246" s="111"/>
      <c r="HD246" s="111"/>
      <c r="HE246" s="111"/>
      <c r="HF246" s="111"/>
      <c r="HG246" s="111"/>
      <c r="HH246" s="111"/>
      <c r="HI246" s="111"/>
      <c r="HJ246" s="111"/>
      <c r="HK246" s="111"/>
      <c r="HL246" s="111"/>
      <c r="HM246" s="111"/>
      <c r="HN246" s="111"/>
      <c r="HO246" s="111"/>
      <c r="HP246" s="111"/>
      <c r="HQ246" s="111"/>
      <c r="HR246" s="111"/>
      <c r="HS246" s="111"/>
    </row>
    <row r="247" spans="1:227" ht="12">
      <c r="A247" s="85" t="s">
        <v>326</v>
      </c>
      <c r="B247" s="86" t="s">
        <v>200</v>
      </c>
      <c r="C247" s="86"/>
      <c r="D247" s="86"/>
      <c r="E247" s="86"/>
      <c r="F247" s="86"/>
      <c r="G247" s="234"/>
      <c r="H247" s="121"/>
      <c r="I247" s="475"/>
      <c r="J247" s="474"/>
      <c r="K247" s="474"/>
      <c r="L247" s="474"/>
      <c r="AO247" s="111"/>
      <c r="AP247" s="111"/>
      <c r="AQ247" s="111"/>
      <c r="AR247" s="111"/>
      <c r="AS247" s="111"/>
      <c r="AT247" s="111"/>
      <c r="AU247" s="111"/>
      <c r="AV247" s="111"/>
      <c r="AW247" s="111"/>
      <c r="AX247" s="111"/>
      <c r="AY247" s="111"/>
      <c r="AZ247" s="111"/>
      <c r="BA247" s="111"/>
      <c r="BB247" s="111"/>
      <c r="BC247" s="111"/>
      <c r="BD247" s="111"/>
      <c r="BE247" s="111"/>
      <c r="BF247" s="111"/>
      <c r="BG247" s="111"/>
      <c r="BH247" s="111"/>
      <c r="BI247" s="111"/>
      <c r="BJ247" s="111"/>
      <c r="BK247" s="111"/>
      <c r="BL247" s="111"/>
      <c r="BM247" s="111"/>
      <c r="BN247" s="111"/>
      <c r="BO247" s="111"/>
      <c r="BP247" s="111"/>
      <c r="BQ247" s="111"/>
      <c r="BR247" s="111"/>
      <c r="BS247" s="111"/>
      <c r="BT247" s="111"/>
      <c r="BU247" s="111"/>
      <c r="BV247" s="111"/>
      <c r="BW247" s="111"/>
      <c r="BX247" s="111"/>
      <c r="BY247" s="111"/>
      <c r="BZ247" s="111"/>
      <c r="CA247" s="111"/>
      <c r="CB247" s="111"/>
      <c r="CC247" s="111"/>
      <c r="CD247" s="111"/>
      <c r="CE247" s="111"/>
      <c r="CF247" s="111"/>
      <c r="CG247" s="111"/>
      <c r="CH247" s="111"/>
      <c r="CI247" s="111"/>
      <c r="CJ247" s="111"/>
      <c r="CK247" s="111"/>
      <c r="CL247" s="111"/>
      <c r="CM247" s="111"/>
      <c r="CN247" s="111"/>
      <c r="CO247" s="111"/>
      <c r="CP247" s="111"/>
      <c r="CQ247" s="111"/>
      <c r="CR247" s="111"/>
      <c r="CS247" s="111"/>
      <c r="CT247" s="111"/>
      <c r="CU247" s="111"/>
      <c r="CV247" s="111"/>
      <c r="CW247" s="111"/>
      <c r="CX247" s="111"/>
      <c r="CY247" s="111"/>
      <c r="CZ247" s="111"/>
      <c r="DA247" s="111"/>
      <c r="DB247" s="111"/>
      <c r="DC247" s="111"/>
      <c r="DD247" s="111"/>
      <c r="DE247" s="111"/>
      <c r="DF247" s="111"/>
      <c r="DG247" s="111"/>
      <c r="DH247" s="111"/>
      <c r="DI247" s="111"/>
      <c r="DJ247" s="111"/>
      <c r="DK247" s="111"/>
      <c r="DL247" s="111"/>
      <c r="DM247" s="111"/>
      <c r="DN247" s="111"/>
      <c r="DO247" s="111"/>
      <c r="DP247" s="111"/>
      <c r="DQ247" s="111"/>
      <c r="DR247" s="111"/>
      <c r="DS247" s="111"/>
      <c r="DT247" s="111"/>
      <c r="DU247" s="111"/>
      <c r="DV247" s="111"/>
      <c r="DW247" s="111"/>
      <c r="DX247" s="111"/>
      <c r="DY247" s="111"/>
      <c r="DZ247" s="111"/>
      <c r="EA247" s="111"/>
      <c r="EB247" s="111"/>
      <c r="EC247" s="111"/>
      <c r="ED247" s="111"/>
      <c r="EE247" s="111"/>
      <c r="EF247" s="111"/>
      <c r="EG247" s="111"/>
      <c r="EH247" s="111"/>
      <c r="EI247" s="111"/>
      <c r="EJ247" s="111"/>
      <c r="EK247" s="111"/>
      <c r="EL247" s="111"/>
      <c r="EM247" s="111"/>
      <c r="EN247" s="111"/>
      <c r="EO247" s="111"/>
      <c r="EP247" s="111"/>
      <c r="EQ247" s="111"/>
      <c r="ER247" s="111"/>
      <c r="ES247" s="111"/>
      <c r="ET247" s="111"/>
      <c r="EU247" s="111"/>
      <c r="EV247" s="111"/>
      <c r="EW247" s="111"/>
      <c r="EX247" s="111"/>
      <c r="EY247" s="111"/>
      <c r="EZ247" s="111"/>
      <c r="FA247" s="111"/>
      <c r="FB247" s="111"/>
      <c r="FC247" s="111"/>
      <c r="FD247" s="111"/>
      <c r="FE247" s="111"/>
      <c r="FF247" s="111"/>
      <c r="FG247" s="111"/>
      <c r="FH247" s="111"/>
      <c r="FI247" s="111"/>
      <c r="FJ247" s="111"/>
      <c r="FK247" s="111"/>
      <c r="FL247" s="111"/>
      <c r="FM247" s="111"/>
      <c r="FN247" s="111"/>
      <c r="FO247" s="111"/>
      <c r="FP247" s="111"/>
      <c r="FQ247" s="111"/>
      <c r="FR247" s="111"/>
      <c r="FS247" s="111"/>
      <c r="FT247" s="111"/>
      <c r="FU247" s="111"/>
      <c r="FV247" s="111"/>
      <c r="FW247" s="111"/>
      <c r="FX247" s="111"/>
      <c r="FY247" s="111"/>
      <c r="FZ247" s="111"/>
      <c r="GA247" s="111"/>
      <c r="GB247" s="111"/>
      <c r="GC247" s="111"/>
      <c r="GD247" s="111"/>
      <c r="GE247" s="111"/>
      <c r="GF247" s="111"/>
      <c r="GG247" s="111"/>
      <c r="GH247" s="111"/>
      <c r="GI247" s="111"/>
      <c r="GJ247" s="111"/>
      <c r="GK247" s="111"/>
      <c r="GL247" s="111"/>
      <c r="GM247" s="111"/>
      <c r="GN247" s="111"/>
      <c r="GO247" s="111"/>
      <c r="GP247" s="111"/>
      <c r="GQ247" s="111"/>
      <c r="GR247" s="111"/>
      <c r="GS247" s="111"/>
      <c r="GT247" s="111"/>
      <c r="GU247" s="111"/>
      <c r="GV247" s="111"/>
      <c r="GW247" s="111"/>
      <c r="GX247" s="111"/>
      <c r="GY247" s="111"/>
      <c r="GZ247" s="111"/>
      <c r="HA247" s="111"/>
      <c r="HB247" s="111"/>
      <c r="HC247" s="111"/>
      <c r="HD247" s="111"/>
      <c r="HE247" s="111"/>
      <c r="HF247" s="111"/>
      <c r="HG247" s="111"/>
      <c r="HH247" s="111"/>
      <c r="HI247" s="111"/>
      <c r="HJ247" s="111"/>
      <c r="HK247" s="111"/>
      <c r="HL247" s="111"/>
      <c r="HM247" s="111"/>
      <c r="HN247" s="111"/>
      <c r="HO247" s="111"/>
      <c r="HP247" s="111"/>
      <c r="HQ247" s="111"/>
      <c r="HR247" s="111"/>
      <c r="HS247" s="111"/>
    </row>
    <row r="248" spans="1:227" ht="12">
      <c r="A248" s="85" t="s">
        <v>327</v>
      </c>
      <c r="B248" s="86"/>
      <c r="C248" s="15" t="s">
        <v>30</v>
      </c>
      <c r="D248" s="15"/>
      <c r="E248" s="86"/>
      <c r="F248" s="86"/>
      <c r="G248" s="234"/>
      <c r="H248" s="127"/>
      <c r="I248" s="475"/>
      <c r="J248" s="474"/>
      <c r="K248" s="474"/>
      <c r="L248" s="474"/>
      <c r="AO248" s="111"/>
      <c r="AP248" s="111"/>
      <c r="AQ248" s="111"/>
      <c r="AR248" s="111"/>
      <c r="AS248" s="111"/>
      <c r="AT248" s="111"/>
      <c r="AU248" s="111"/>
      <c r="AV248" s="111"/>
      <c r="AW248" s="111"/>
      <c r="AX248" s="111"/>
      <c r="AY248" s="111"/>
      <c r="AZ248" s="111"/>
      <c r="BA248" s="111"/>
      <c r="BB248" s="111"/>
      <c r="BC248" s="111"/>
      <c r="BD248" s="111"/>
      <c r="BE248" s="111"/>
      <c r="BF248" s="111"/>
      <c r="BG248" s="111"/>
      <c r="BH248" s="111"/>
      <c r="BI248" s="111"/>
      <c r="BJ248" s="111"/>
      <c r="BK248" s="111"/>
      <c r="BL248" s="111"/>
      <c r="BM248" s="111"/>
      <c r="BN248" s="111"/>
      <c r="BO248" s="111"/>
      <c r="BP248" s="111"/>
      <c r="BQ248" s="111"/>
      <c r="BR248" s="111"/>
      <c r="BS248" s="111"/>
      <c r="BT248" s="111"/>
      <c r="BU248" s="111"/>
      <c r="BV248" s="111"/>
      <c r="BW248" s="111"/>
      <c r="BX248" s="111"/>
      <c r="BY248" s="111"/>
      <c r="BZ248" s="111"/>
      <c r="CA248" s="111"/>
      <c r="CB248" s="111"/>
      <c r="CC248" s="111"/>
      <c r="CD248" s="111"/>
      <c r="CE248" s="111"/>
      <c r="CF248" s="111"/>
      <c r="CG248" s="111"/>
      <c r="CH248" s="111"/>
      <c r="CI248" s="111"/>
      <c r="CJ248" s="111"/>
      <c r="CK248" s="111"/>
      <c r="CL248" s="111"/>
      <c r="CM248" s="111"/>
      <c r="CN248" s="111"/>
      <c r="CO248" s="111"/>
      <c r="CP248" s="111"/>
      <c r="CQ248" s="111"/>
      <c r="CR248" s="111"/>
      <c r="CS248" s="111"/>
      <c r="CT248" s="111"/>
      <c r="CU248" s="111"/>
      <c r="CV248" s="111"/>
      <c r="CW248" s="111"/>
      <c r="CX248" s="111"/>
      <c r="CY248" s="111"/>
      <c r="CZ248" s="111"/>
      <c r="DA248" s="111"/>
      <c r="DB248" s="111"/>
      <c r="DC248" s="111"/>
      <c r="DD248" s="111"/>
      <c r="DE248" s="111"/>
      <c r="DF248" s="111"/>
      <c r="DG248" s="111"/>
      <c r="DH248" s="111"/>
      <c r="DI248" s="111"/>
      <c r="DJ248" s="111"/>
      <c r="DK248" s="111"/>
      <c r="DL248" s="111"/>
      <c r="DM248" s="111"/>
      <c r="DN248" s="111"/>
      <c r="DO248" s="111"/>
      <c r="DP248" s="111"/>
      <c r="DQ248" s="111"/>
      <c r="DR248" s="111"/>
      <c r="DS248" s="111"/>
      <c r="DT248" s="111"/>
      <c r="DU248" s="111"/>
      <c r="DV248" s="111"/>
      <c r="DW248" s="111"/>
      <c r="DX248" s="111"/>
      <c r="DY248" s="111"/>
      <c r="DZ248" s="111"/>
      <c r="EA248" s="111"/>
      <c r="EB248" s="111"/>
      <c r="EC248" s="111"/>
      <c r="ED248" s="111"/>
      <c r="EE248" s="111"/>
      <c r="EF248" s="111"/>
      <c r="EG248" s="111"/>
      <c r="EH248" s="111"/>
      <c r="EI248" s="111"/>
      <c r="EJ248" s="111"/>
      <c r="EK248" s="111"/>
      <c r="EL248" s="111"/>
      <c r="EM248" s="111"/>
      <c r="EN248" s="111"/>
      <c r="EO248" s="111"/>
      <c r="EP248" s="111"/>
      <c r="EQ248" s="111"/>
      <c r="ER248" s="111"/>
      <c r="ES248" s="111"/>
      <c r="ET248" s="111"/>
      <c r="EU248" s="111"/>
      <c r="EV248" s="111"/>
      <c r="EW248" s="111"/>
      <c r="EX248" s="111"/>
      <c r="EY248" s="111"/>
      <c r="EZ248" s="111"/>
      <c r="FA248" s="111"/>
      <c r="FB248" s="111"/>
      <c r="FC248" s="111"/>
      <c r="FD248" s="111"/>
      <c r="FE248" s="111"/>
      <c r="FF248" s="111"/>
      <c r="FG248" s="111"/>
      <c r="FH248" s="111"/>
      <c r="FI248" s="111"/>
      <c r="FJ248" s="111"/>
      <c r="FK248" s="111"/>
      <c r="FL248" s="111"/>
      <c r="FM248" s="111"/>
      <c r="FN248" s="111"/>
      <c r="FO248" s="111"/>
      <c r="FP248" s="111"/>
      <c r="FQ248" s="111"/>
      <c r="FR248" s="111"/>
      <c r="FS248" s="111"/>
      <c r="FT248" s="111"/>
      <c r="FU248" s="111"/>
      <c r="FV248" s="111"/>
      <c r="FW248" s="111"/>
      <c r="FX248" s="111"/>
      <c r="FY248" s="111"/>
      <c r="FZ248" s="111"/>
      <c r="GA248" s="111"/>
      <c r="GB248" s="111"/>
      <c r="GC248" s="111"/>
      <c r="GD248" s="111"/>
      <c r="GE248" s="111"/>
      <c r="GF248" s="111"/>
      <c r="GG248" s="111"/>
      <c r="GH248" s="111"/>
      <c r="GI248" s="111"/>
      <c r="GJ248" s="111"/>
      <c r="GK248" s="111"/>
      <c r="GL248" s="111"/>
      <c r="GM248" s="111"/>
      <c r="GN248" s="111"/>
      <c r="GO248" s="111"/>
      <c r="GP248" s="111"/>
      <c r="GQ248" s="111"/>
      <c r="GR248" s="111"/>
      <c r="GS248" s="111"/>
      <c r="GT248" s="111"/>
      <c r="GU248" s="111"/>
      <c r="GV248" s="111"/>
      <c r="GW248" s="111"/>
      <c r="GX248" s="111"/>
      <c r="GY248" s="111"/>
      <c r="GZ248" s="111"/>
      <c r="HA248" s="111"/>
      <c r="HB248" s="111"/>
      <c r="HC248" s="111"/>
      <c r="HD248" s="111"/>
      <c r="HE248" s="111"/>
      <c r="HF248" s="111"/>
      <c r="HG248" s="111"/>
      <c r="HH248" s="111"/>
      <c r="HI248" s="111"/>
      <c r="HJ248" s="111"/>
      <c r="HK248" s="111"/>
      <c r="HL248" s="111"/>
      <c r="HM248" s="111"/>
      <c r="HN248" s="111"/>
      <c r="HO248" s="111"/>
      <c r="HP248" s="111"/>
      <c r="HQ248" s="111"/>
      <c r="HR248" s="111"/>
      <c r="HS248" s="111"/>
    </row>
    <row r="249" spans="1:227" ht="12">
      <c r="A249" s="96"/>
      <c r="B249" s="15"/>
      <c r="C249" s="15" t="s">
        <v>10</v>
      </c>
      <c r="D249" s="15"/>
      <c r="E249" s="15"/>
      <c r="F249" s="15"/>
      <c r="H249" s="136" t="s">
        <v>429</v>
      </c>
      <c r="I249" s="475"/>
      <c r="J249" s="474"/>
      <c r="K249" s="474"/>
      <c r="L249" s="474"/>
      <c r="AO249" s="111"/>
      <c r="AP249" s="111"/>
      <c r="AQ249" s="111"/>
      <c r="AR249" s="111"/>
      <c r="AS249" s="111"/>
      <c r="AT249" s="111"/>
      <c r="AU249" s="111"/>
      <c r="AV249" s="111"/>
      <c r="AW249" s="111"/>
      <c r="AX249" s="111"/>
      <c r="AY249" s="111"/>
      <c r="AZ249" s="111"/>
      <c r="BA249" s="111"/>
      <c r="BB249" s="111"/>
      <c r="BC249" s="111"/>
      <c r="BD249" s="111"/>
      <c r="BE249" s="111"/>
      <c r="BF249" s="111"/>
      <c r="BG249" s="111"/>
      <c r="BH249" s="111"/>
      <c r="BI249" s="111"/>
      <c r="BJ249" s="111"/>
      <c r="BK249" s="111"/>
      <c r="BL249" s="111"/>
      <c r="BM249" s="111"/>
      <c r="BN249" s="111"/>
      <c r="BO249" s="111"/>
      <c r="BP249" s="111"/>
      <c r="BQ249" s="111"/>
      <c r="BR249" s="111"/>
      <c r="BS249" s="111"/>
      <c r="BT249" s="111"/>
      <c r="BU249" s="111"/>
      <c r="BV249" s="111"/>
      <c r="BW249" s="111"/>
      <c r="BX249" s="111"/>
      <c r="BY249" s="111"/>
      <c r="BZ249" s="111"/>
      <c r="CA249" s="111"/>
      <c r="CB249" s="111"/>
      <c r="CC249" s="111"/>
      <c r="CD249" s="111"/>
      <c r="CE249" s="111"/>
      <c r="CF249" s="111"/>
      <c r="CG249" s="111"/>
      <c r="CH249" s="111"/>
      <c r="CI249" s="111"/>
      <c r="CJ249" s="111"/>
      <c r="CK249" s="111"/>
      <c r="CL249" s="111"/>
      <c r="CM249" s="111"/>
      <c r="CN249" s="111"/>
      <c r="CO249" s="111"/>
      <c r="CP249" s="111"/>
      <c r="CQ249" s="111"/>
      <c r="CR249" s="111"/>
      <c r="CS249" s="111"/>
      <c r="CT249" s="111"/>
      <c r="CU249" s="111"/>
      <c r="CV249" s="111"/>
      <c r="CW249" s="111"/>
      <c r="CX249" s="111"/>
      <c r="CY249" s="111"/>
      <c r="CZ249" s="111"/>
      <c r="DA249" s="111"/>
      <c r="DB249" s="111"/>
      <c r="DC249" s="111"/>
      <c r="DD249" s="111"/>
      <c r="DE249" s="111"/>
      <c r="DF249" s="111"/>
      <c r="DG249" s="111"/>
      <c r="DH249" s="111"/>
      <c r="DI249" s="111"/>
      <c r="DJ249" s="111"/>
      <c r="DK249" s="111"/>
      <c r="DL249" s="111"/>
      <c r="DM249" s="111"/>
      <c r="DN249" s="111"/>
      <c r="DO249" s="111"/>
      <c r="DP249" s="111"/>
      <c r="DQ249" s="111"/>
      <c r="DR249" s="111"/>
      <c r="DS249" s="111"/>
      <c r="DT249" s="111"/>
      <c r="DU249" s="111"/>
      <c r="DV249" s="111"/>
      <c r="DW249" s="111"/>
      <c r="DX249" s="111"/>
      <c r="DY249" s="111"/>
      <c r="DZ249" s="111"/>
      <c r="EA249" s="111"/>
      <c r="EB249" s="111"/>
      <c r="EC249" s="111"/>
      <c r="ED249" s="111"/>
      <c r="EE249" s="111"/>
      <c r="EF249" s="111"/>
      <c r="EG249" s="111"/>
      <c r="EH249" s="111"/>
      <c r="EI249" s="111"/>
      <c r="EJ249" s="111"/>
      <c r="EK249" s="111"/>
      <c r="EL249" s="111"/>
      <c r="EM249" s="111"/>
      <c r="EN249" s="111"/>
      <c r="EO249" s="111"/>
      <c r="EP249" s="111"/>
      <c r="EQ249" s="111"/>
      <c r="ER249" s="111"/>
      <c r="ES249" s="111"/>
      <c r="ET249" s="111"/>
      <c r="EU249" s="111"/>
      <c r="EV249" s="111"/>
      <c r="EW249" s="111"/>
      <c r="EX249" s="111"/>
      <c r="EY249" s="111"/>
      <c r="EZ249" s="111"/>
      <c r="FA249" s="111"/>
      <c r="FB249" s="111"/>
      <c r="FC249" s="111"/>
      <c r="FD249" s="111"/>
      <c r="FE249" s="111"/>
      <c r="FF249" s="111"/>
      <c r="FG249" s="111"/>
      <c r="FH249" s="111"/>
      <c r="FI249" s="111"/>
      <c r="FJ249" s="111"/>
      <c r="FK249" s="111"/>
      <c r="FL249" s="111"/>
      <c r="FM249" s="111"/>
      <c r="FN249" s="111"/>
      <c r="FO249" s="111"/>
      <c r="FP249" s="111"/>
      <c r="FQ249" s="111"/>
      <c r="FR249" s="111"/>
      <c r="FS249" s="111"/>
      <c r="FT249" s="111"/>
      <c r="FU249" s="111"/>
      <c r="FV249" s="111"/>
      <c r="FW249" s="111"/>
      <c r="FX249" s="111"/>
      <c r="FY249" s="111"/>
      <c r="FZ249" s="111"/>
      <c r="GA249" s="111"/>
      <c r="GB249" s="111"/>
      <c r="GC249" s="111"/>
      <c r="GD249" s="111"/>
      <c r="GE249" s="111"/>
      <c r="GF249" s="111"/>
      <c r="GG249" s="111"/>
      <c r="GH249" s="111"/>
      <c r="GI249" s="111"/>
      <c r="GJ249" s="111"/>
      <c r="GK249" s="111"/>
      <c r="GL249" s="111"/>
      <c r="GM249" s="111"/>
      <c r="GN249" s="111"/>
      <c r="GO249" s="111"/>
      <c r="GP249" s="111"/>
      <c r="GQ249" s="111"/>
      <c r="GR249" s="111"/>
      <c r="GS249" s="111"/>
      <c r="GT249" s="111"/>
      <c r="GU249" s="111"/>
      <c r="GV249" s="111"/>
      <c r="GW249" s="111"/>
      <c r="GX249" s="111"/>
      <c r="GY249" s="111"/>
      <c r="GZ249" s="111"/>
      <c r="HA249" s="111"/>
      <c r="HB249" s="111"/>
      <c r="HC249" s="111"/>
      <c r="HD249" s="111"/>
      <c r="HE249" s="111"/>
      <c r="HF249" s="111"/>
      <c r="HG249" s="111"/>
      <c r="HH249" s="111"/>
      <c r="HI249" s="111"/>
      <c r="HJ249" s="111"/>
      <c r="HK249" s="111"/>
      <c r="HL249" s="111"/>
      <c r="HM249" s="111"/>
      <c r="HN249" s="111"/>
      <c r="HO249" s="111"/>
      <c r="HP249" s="111"/>
      <c r="HQ249" s="111"/>
      <c r="HR249" s="111"/>
      <c r="HS249" s="111"/>
    </row>
    <row r="250" spans="1:12" ht="60">
      <c r="A250" s="96" t="s">
        <v>328</v>
      </c>
      <c r="B250" s="15"/>
      <c r="C250" s="15"/>
      <c r="D250" s="15" t="s">
        <v>11</v>
      </c>
      <c r="E250" s="15"/>
      <c r="F250" s="15"/>
      <c r="H250" s="127" t="s">
        <v>470</v>
      </c>
      <c r="I250" s="475"/>
      <c r="J250" s="127" t="s">
        <v>502</v>
      </c>
      <c r="K250" s="474"/>
      <c r="L250" s="474"/>
    </row>
    <row r="251" spans="1:12" ht="12">
      <c r="A251" s="96" t="s">
        <v>329</v>
      </c>
      <c r="B251" s="15"/>
      <c r="C251" s="15"/>
      <c r="D251" s="15" t="s">
        <v>12</v>
      </c>
      <c r="E251" s="15"/>
      <c r="F251" s="15"/>
      <c r="H251" s="121" t="s">
        <v>471</v>
      </c>
      <c r="I251" s="475"/>
      <c r="J251" s="477"/>
      <c r="K251" s="474"/>
      <c r="L251" s="474"/>
    </row>
    <row r="252" spans="1:12" ht="12">
      <c r="A252" s="96" t="s">
        <v>330</v>
      </c>
      <c r="B252" s="15"/>
      <c r="C252" s="15"/>
      <c r="D252" s="15" t="s">
        <v>13</v>
      </c>
      <c r="E252" s="15"/>
      <c r="F252" s="15"/>
      <c r="H252" s="127"/>
      <c r="I252" s="475"/>
      <c r="J252" s="477"/>
      <c r="K252" s="474"/>
      <c r="L252" s="474"/>
    </row>
    <row r="253" spans="1:12" ht="12">
      <c r="A253" s="96" t="s">
        <v>331</v>
      </c>
      <c r="B253" s="15"/>
      <c r="C253" s="15"/>
      <c r="D253" s="15" t="s">
        <v>14</v>
      </c>
      <c r="E253" s="15"/>
      <c r="F253" s="15"/>
      <c r="H253" s="127" t="s">
        <v>472</v>
      </c>
      <c r="I253" s="475"/>
      <c r="J253" s="477"/>
      <c r="K253" s="474"/>
      <c r="L253" s="474"/>
    </row>
    <row r="254" spans="1:12" ht="12">
      <c r="A254" s="96"/>
      <c r="B254" s="15"/>
      <c r="C254" s="15" t="s">
        <v>15</v>
      </c>
      <c r="D254" s="15"/>
      <c r="E254" s="15"/>
      <c r="F254" s="15"/>
      <c r="H254" s="127"/>
      <c r="I254" s="475"/>
      <c r="J254" s="477"/>
      <c r="K254" s="474"/>
      <c r="L254" s="474"/>
    </row>
    <row r="255" spans="1:12" ht="12">
      <c r="A255" s="96" t="s">
        <v>332</v>
      </c>
      <c r="B255" s="15"/>
      <c r="C255" s="15"/>
      <c r="D255" s="15" t="s">
        <v>11</v>
      </c>
      <c r="E255" s="15"/>
      <c r="F255" s="15"/>
      <c r="H255" s="127"/>
      <c r="I255" s="475"/>
      <c r="J255" s="477"/>
      <c r="K255" s="474"/>
      <c r="L255" s="474"/>
    </row>
    <row r="256" spans="1:12" ht="12">
      <c r="A256" s="96" t="s">
        <v>333</v>
      </c>
      <c r="B256" s="15"/>
      <c r="C256" s="15"/>
      <c r="D256" s="15" t="s">
        <v>12</v>
      </c>
      <c r="E256" s="15"/>
      <c r="F256" s="15"/>
      <c r="H256" s="127"/>
      <c r="I256" s="475"/>
      <c r="J256" s="477"/>
      <c r="K256" s="474"/>
      <c r="L256" s="474"/>
    </row>
    <row r="257" spans="1:12" ht="12">
      <c r="A257" s="96" t="s">
        <v>334</v>
      </c>
      <c r="B257" s="15"/>
      <c r="C257" s="15"/>
      <c r="D257" s="15" t="s">
        <v>13</v>
      </c>
      <c r="E257" s="15"/>
      <c r="F257" s="15"/>
      <c r="H257" s="127"/>
      <c r="I257" s="475"/>
      <c r="J257" s="474"/>
      <c r="K257" s="474"/>
      <c r="L257" s="474"/>
    </row>
    <row r="258" spans="1:12" ht="12">
      <c r="A258" s="96" t="s">
        <v>335</v>
      </c>
      <c r="B258" s="15"/>
      <c r="C258" s="15"/>
      <c r="D258" s="15" t="s">
        <v>14</v>
      </c>
      <c r="E258" s="15"/>
      <c r="F258" s="15"/>
      <c r="H258" s="127"/>
      <c r="I258" s="475"/>
      <c r="J258" s="476"/>
      <c r="K258" s="474"/>
      <c r="L258" s="474"/>
    </row>
    <row r="259" spans="1:12" ht="12">
      <c r="A259" s="96"/>
      <c r="B259" s="15"/>
      <c r="C259" s="15" t="s">
        <v>16</v>
      </c>
      <c r="D259" s="15"/>
      <c r="E259" s="15"/>
      <c r="F259" s="15"/>
      <c r="H259" s="127"/>
      <c r="I259" s="475"/>
      <c r="J259" s="476"/>
      <c r="K259" s="474"/>
      <c r="L259" s="474"/>
    </row>
    <row r="260" spans="1:12" ht="12">
      <c r="A260" s="96"/>
      <c r="B260" s="15"/>
      <c r="C260" s="15" t="s">
        <v>10</v>
      </c>
      <c r="D260" s="15"/>
      <c r="E260" s="15"/>
      <c r="F260" s="15"/>
      <c r="H260" s="136"/>
      <c r="I260" s="475"/>
      <c r="J260" s="476"/>
      <c r="K260" s="474"/>
      <c r="L260" s="474"/>
    </row>
    <row r="261" spans="1:12" ht="12">
      <c r="A261" s="96" t="s">
        <v>336</v>
      </c>
      <c r="B261" s="15"/>
      <c r="C261" s="15"/>
      <c r="D261" s="15" t="s">
        <v>17</v>
      </c>
      <c r="E261" s="15"/>
      <c r="F261" s="15"/>
      <c r="H261" s="136"/>
      <c r="I261" s="475"/>
      <c r="J261" s="476"/>
      <c r="K261" s="474"/>
      <c r="L261" s="474"/>
    </row>
    <row r="262" spans="1:12" ht="36">
      <c r="A262" s="96" t="s">
        <v>337</v>
      </c>
      <c r="B262" s="15"/>
      <c r="C262" s="15"/>
      <c r="D262" s="15" t="s">
        <v>18</v>
      </c>
      <c r="E262" s="15"/>
      <c r="F262" s="15"/>
      <c r="H262" s="136" t="s">
        <v>473</v>
      </c>
      <c r="I262" s="475"/>
      <c r="J262" s="473" t="s">
        <v>503</v>
      </c>
      <c r="K262" s="474"/>
      <c r="L262" s="474"/>
    </row>
    <row r="263" spans="1:12" ht="12">
      <c r="A263" s="96"/>
      <c r="B263" s="15"/>
      <c r="C263" s="15" t="s">
        <v>15</v>
      </c>
      <c r="D263" s="15"/>
      <c r="E263" s="15"/>
      <c r="F263" s="15"/>
      <c r="H263" s="136"/>
      <c r="I263" s="475"/>
      <c r="J263" s="474"/>
      <c r="K263" s="474"/>
      <c r="L263" s="474"/>
    </row>
    <row r="264" spans="1:12" ht="12">
      <c r="A264" s="96" t="s">
        <v>338</v>
      </c>
      <c r="B264" s="15"/>
      <c r="C264" s="15"/>
      <c r="D264" s="15" t="s">
        <v>17</v>
      </c>
      <c r="E264" s="15"/>
      <c r="F264" s="15"/>
      <c r="H264" s="127"/>
      <c r="I264" s="475"/>
      <c r="J264" s="474"/>
      <c r="K264" s="474"/>
      <c r="L264" s="474"/>
    </row>
    <row r="265" spans="1:12" ht="12">
      <c r="A265" s="96" t="s">
        <v>339</v>
      </c>
      <c r="B265" s="15"/>
      <c r="C265" s="15"/>
      <c r="D265" s="15" t="s">
        <v>19</v>
      </c>
      <c r="E265" s="15"/>
      <c r="F265" s="15"/>
      <c r="H265" s="136"/>
      <c r="I265" s="475"/>
      <c r="J265" s="474"/>
      <c r="K265" s="474"/>
      <c r="L265" s="474"/>
    </row>
    <row r="266" spans="1:12" ht="12">
      <c r="A266" s="96"/>
      <c r="B266" s="15"/>
      <c r="C266" s="15" t="s">
        <v>20</v>
      </c>
      <c r="D266" s="15"/>
      <c r="E266" s="15"/>
      <c r="F266" s="15"/>
      <c r="H266" s="120"/>
      <c r="I266" s="475"/>
      <c r="J266" s="474"/>
      <c r="K266" s="474"/>
      <c r="L266" s="474"/>
    </row>
    <row r="267" spans="1:12" ht="12">
      <c r="A267" s="96"/>
      <c r="B267" s="86" t="s">
        <v>201</v>
      </c>
      <c r="C267" s="15"/>
      <c r="D267" s="15"/>
      <c r="E267" s="15"/>
      <c r="F267" s="15"/>
      <c r="H267" s="120"/>
      <c r="I267" s="475"/>
      <c r="J267" s="474"/>
      <c r="K267" s="474"/>
      <c r="L267" s="474"/>
    </row>
    <row r="268" spans="1:12" ht="12">
      <c r="A268" s="354"/>
      <c r="H268" s="120"/>
      <c r="I268" s="475"/>
      <c r="J268" s="474"/>
      <c r="K268" s="474"/>
      <c r="L268" s="474"/>
    </row>
    <row r="269" spans="1:12" ht="12">
      <c r="A269" s="85" t="s">
        <v>340</v>
      </c>
      <c r="B269" s="86" t="s">
        <v>204</v>
      </c>
      <c r="C269" s="86"/>
      <c r="D269" s="86"/>
      <c r="E269" s="86"/>
      <c r="F269" s="86"/>
      <c r="G269" s="86"/>
      <c r="H269" s="120"/>
      <c r="I269" s="475"/>
      <c r="J269" s="474"/>
      <c r="K269" s="474"/>
      <c r="L269" s="474"/>
    </row>
    <row r="270" spans="1:12" ht="12">
      <c r="A270" s="85" t="s">
        <v>341</v>
      </c>
      <c r="B270" s="86"/>
      <c r="C270" s="15" t="s">
        <v>30</v>
      </c>
      <c r="D270" s="15"/>
      <c r="E270" s="86"/>
      <c r="F270" s="86"/>
      <c r="G270" s="86"/>
      <c r="H270" s="127" t="s">
        <v>474</v>
      </c>
      <c r="I270" s="475"/>
      <c r="J270" s="474"/>
      <c r="K270" s="474"/>
      <c r="L270" s="474"/>
    </row>
    <row r="271" spans="1:12" ht="12">
      <c r="A271" s="96"/>
      <c r="B271" s="15"/>
      <c r="C271" s="15" t="s">
        <v>10</v>
      </c>
      <c r="D271" s="15"/>
      <c r="E271" s="15"/>
      <c r="F271" s="15"/>
      <c r="G271" s="15"/>
      <c r="H271" s="136"/>
      <c r="I271" s="475"/>
      <c r="J271" s="474"/>
      <c r="K271" s="474"/>
      <c r="L271" s="474"/>
    </row>
    <row r="272" spans="1:12" ht="12">
      <c r="A272" s="96" t="s">
        <v>342</v>
      </c>
      <c r="B272" s="15"/>
      <c r="C272" s="15"/>
      <c r="D272" s="15" t="s">
        <v>11</v>
      </c>
      <c r="E272" s="15"/>
      <c r="F272" s="15"/>
      <c r="G272" s="15"/>
      <c r="H272" s="127"/>
      <c r="I272" s="475"/>
      <c r="J272" s="474"/>
      <c r="K272" s="474"/>
      <c r="L272" s="474"/>
    </row>
    <row r="273" spans="1:12" ht="12">
      <c r="A273" s="96" t="s">
        <v>343</v>
      </c>
      <c r="B273" s="15"/>
      <c r="C273" s="15"/>
      <c r="D273" s="15" t="s">
        <v>12</v>
      </c>
      <c r="E273" s="15"/>
      <c r="F273" s="15"/>
      <c r="G273" s="15"/>
      <c r="H273" s="121"/>
      <c r="I273" s="475"/>
      <c r="J273" s="474"/>
      <c r="K273" s="474"/>
      <c r="L273" s="474"/>
    </row>
    <row r="274" spans="1:12" ht="12">
      <c r="A274" s="96" t="s">
        <v>344</v>
      </c>
      <c r="B274" s="15"/>
      <c r="C274" s="15"/>
      <c r="D274" s="15" t="s">
        <v>13</v>
      </c>
      <c r="E274" s="15"/>
      <c r="F274" s="15"/>
      <c r="G274" s="15"/>
      <c r="H274" s="127"/>
      <c r="I274" s="475"/>
      <c r="J274" s="474"/>
      <c r="K274" s="474"/>
      <c r="L274" s="474"/>
    </row>
    <row r="275" spans="1:12" ht="12">
      <c r="A275" s="96" t="s">
        <v>345</v>
      </c>
      <c r="B275" s="15"/>
      <c r="C275" s="15"/>
      <c r="D275" s="15" t="s">
        <v>14</v>
      </c>
      <c r="E275" s="15"/>
      <c r="F275" s="15"/>
      <c r="G275" s="15"/>
      <c r="H275" s="127"/>
      <c r="I275" s="475"/>
      <c r="J275" s="474"/>
      <c r="K275" s="474"/>
      <c r="L275" s="474"/>
    </row>
    <row r="276" spans="1:12" ht="12">
      <c r="A276" s="96"/>
      <c r="B276" s="15"/>
      <c r="C276" s="15" t="s">
        <v>15</v>
      </c>
      <c r="D276" s="15"/>
      <c r="E276" s="15"/>
      <c r="F276" s="15"/>
      <c r="G276" s="15"/>
      <c r="H276" s="127"/>
      <c r="I276" s="475"/>
      <c r="J276" s="474"/>
      <c r="K276" s="474"/>
      <c r="L276" s="474"/>
    </row>
    <row r="277" spans="1:12" ht="12">
      <c r="A277" s="96" t="s">
        <v>346</v>
      </c>
      <c r="B277" s="15"/>
      <c r="C277" s="15"/>
      <c r="D277" s="15" t="s">
        <v>11</v>
      </c>
      <c r="E277" s="15"/>
      <c r="F277" s="15"/>
      <c r="G277" s="15"/>
      <c r="H277" s="127"/>
      <c r="I277" s="475"/>
      <c r="J277" s="474"/>
      <c r="K277" s="474"/>
      <c r="L277" s="474"/>
    </row>
    <row r="278" spans="1:12" ht="12">
      <c r="A278" s="96" t="s">
        <v>347</v>
      </c>
      <c r="B278" s="15"/>
      <c r="C278" s="15"/>
      <c r="D278" s="15" t="s">
        <v>12</v>
      </c>
      <c r="E278" s="15"/>
      <c r="F278" s="15"/>
      <c r="G278" s="15"/>
      <c r="H278" s="127"/>
      <c r="I278" s="475"/>
      <c r="J278" s="474"/>
      <c r="K278" s="474"/>
      <c r="L278" s="474"/>
    </row>
    <row r="279" spans="1:12" ht="12">
      <c r="A279" s="96" t="s">
        <v>348</v>
      </c>
      <c r="B279" s="15"/>
      <c r="C279" s="15"/>
      <c r="D279" s="15" t="s">
        <v>13</v>
      </c>
      <c r="E279" s="15"/>
      <c r="F279" s="15"/>
      <c r="G279" s="15"/>
      <c r="H279" s="127"/>
      <c r="I279" s="475"/>
      <c r="J279" s="474"/>
      <c r="K279" s="474"/>
      <c r="L279" s="474"/>
    </row>
    <row r="280" spans="1:12" ht="12">
      <c r="A280" s="96" t="s">
        <v>349</v>
      </c>
      <c r="B280" s="15"/>
      <c r="C280" s="15"/>
      <c r="D280" s="15" t="s">
        <v>14</v>
      </c>
      <c r="E280" s="15"/>
      <c r="F280" s="15"/>
      <c r="G280" s="15"/>
      <c r="H280" s="127"/>
      <c r="I280" s="475"/>
      <c r="J280" s="474"/>
      <c r="K280" s="474"/>
      <c r="L280" s="474"/>
    </row>
    <row r="281" spans="1:12" ht="12">
      <c r="A281" s="96"/>
      <c r="B281" s="15"/>
      <c r="C281" s="15" t="s">
        <v>16</v>
      </c>
      <c r="D281" s="15"/>
      <c r="E281" s="15"/>
      <c r="F281" s="15"/>
      <c r="G281" s="15"/>
      <c r="H281" s="127"/>
      <c r="I281" s="475"/>
      <c r="J281" s="474"/>
      <c r="K281" s="474"/>
      <c r="L281" s="474"/>
    </row>
    <row r="282" spans="1:12" ht="12">
      <c r="A282" s="96"/>
      <c r="B282" s="15"/>
      <c r="C282" s="15" t="s">
        <v>10</v>
      </c>
      <c r="D282" s="15"/>
      <c r="E282" s="15"/>
      <c r="F282" s="15"/>
      <c r="G282" s="15"/>
      <c r="H282" s="136"/>
      <c r="I282" s="475"/>
      <c r="J282" s="474"/>
      <c r="K282" s="474"/>
      <c r="L282" s="474"/>
    </row>
    <row r="283" spans="1:12" ht="12">
      <c r="A283" s="96" t="s">
        <v>350</v>
      </c>
      <c r="B283" s="15"/>
      <c r="C283" s="15"/>
      <c r="D283" s="15" t="s">
        <v>17</v>
      </c>
      <c r="E283" s="15"/>
      <c r="F283" s="15"/>
      <c r="G283" s="15"/>
      <c r="H283" s="136"/>
      <c r="I283" s="475"/>
      <c r="J283" s="474"/>
      <c r="K283" s="474"/>
      <c r="L283" s="474"/>
    </row>
    <row r="284" spans="1:12" ht="12">
      <c r="A284" s="96" t="s">
        <v>351</v>
      </c>
      <c r="B284" s="15"/>
      <c r="C284" s="15"/>
      <c r="D284" s="15" t="s">
        <v>18</v>
      </c>
      <c r="E284" s="15"/>
      <c r="F284" s="15"/>
      <c r="G284" s="15"/>
      <c r="H284" s="136"/>
      <c r="I284" s="475"/>
      <c r="J284" s="474"/>
      <c r="K284" s="474"/>
      <c r="L284" s="474"/>
    </row>
    <row r="285" spans="1:12" ht="12">
      <c r="A285" s="96"/>
      <c r="B285" s="15"/>
      <c r="C285" s="15" t="s">
        <v>15</v>
      </c>
      <c r="D285" s="15"/>
      <c r="E285" s="15"/>
      <c r="F285" s="15"/>
      <c r="G285" s="15"/>
      <c r="H285" s="136"/>
      <c r="I285" s="475"/>
      <c r="J285" s="474"/>
      <c r="K285" s="474"/>
      <c r="L285" s="474"/>
    </row>
    <row r="286" spans="1:12" ht="12">
      <c r="A286" s="96" t="s">
        <v>352</v>
      </c>
      <c r="B286" s="15"/>
      <c r="C286" s="15"/>
      <c r="D286" s="15" t="s">
        <v>17</v>
      </c>
      <c r="E286" s="15"/>
      <c r="F286" s="15"/>
      <c r="G286" s="15"/>
      <c r="H286" s="127"/>
      <c r="I286" s="475"/>
      <c r="J286" s="474"/>
      <c r="K286" s="474"/>
      <c r="L286" s="474"/>
    </row>
    <row r="287" spans="1:12" ht="12">
      <c r="A287" s="96" t="s">
        <v>353</v>
      </c>
      <c r="B287" s="15"/>
      <c r="C287" s="15"/>
      <c r="D287" s="15" t="s">
        <v>19</v>
      </c>
      <c r="E287" s="15"/>
      <c r="F287" s="15"/>
      <c r="G287" s="15"/>
      <c r="H287" s="136"/>
      <c r="I287" s="475"/>
      <c r="J287" s="474"/>
      <c r="K287" s="474"/>
      <c r="L287" s="474"/>
    </row>
    <row r="288" spans="1:12" ht="12">
      <c r="A288" s="96"/>
      <c r="B288" s="15"/>
      <c r="C288" s="15" t="s">
        <v>20</v>
      </c>
      <c r="D288" s="15"/>
      <c r="E288" s="15"/>
      <c r="F288" s="15"/>
      <c r="G288" s="15"/>
      <c r="H288" s="121"/>
      <c r="I288" s="475"/>
      <c r="J288" s="474"/>
      <c r="K288" s="474"/>
      <c r="L288" s="474"/>
    </row>
    <row r="289" spans="1:12" ht="12">
      <c r="A289" s="96"/>
      <c r="B289" s="86" t="s">
        <v>205</v>
      </c>
      <c r="C289" s="15"/>
      <c r="D289" s="15"/>
      <c r="E289" s="15"/>
      <c r="F289" s="15"/>
      <c r="G289" s="15"/>
      <c r="H289" s="121"/>
      <c r="I289" s="475"/>
      <c r="J289" s="479"/>
      <c r="K289" s="479"/>
      <c r="L289" s="479"/>
    </row>
    <row r="290" spans="1:12" ht="12">
      <c r="A290" s="354"/>
      <c r="H290" s="120"/>
      <c r="I290" s="475"/>
      <c r="J290" s="474"/>
      <c r="K290" s="474"/>
      <c r="L290" s="474"/>
    </row>
    <row r="291" spans="1:12" ht="12">
      <c r="A291" s="85" t="s">
        <v>354</v>
      </c>
      <c r="B291" s="15" t="s">
        <v>206</v>
      </c>
      <c r="C291" s="15"/>
      <c r="D291" s="86"/>
      <c r="E291" s="86"/>
      <c r="F291" s="86"/>
      <c r="G291" s="86"/>
      <c r="H291" s="120"/>
      <c r="I291" s="475"/>
      <c r="J291" s="474"/>
      <c r="K291" s="474"/>
      <c r="L291" s="474"/>
    </row>
    <row r="292" spans="1:12" ht="12">
      <c r="A292" s="85" t="s">
        <v>355</v>
      </c>
      <c r="B292" s="15"/>
      <c r="C292" s="15" t="s">
        <v>30</v>
      </c>
      <c r="D292" s="15"/>
      <c r="E292" s="86"/>
      <c r="F292" s="86"/>
      <c r="G292" s="86"/>
      <c r="H292" s="127" t="s">
        <v>475</v>
      </c>
      <c r="I292" s="475"/>
      <c r="J292" s="474"/>
      <c r="K292" s="474"/>
      <c r="L292" s="474"/>
    </row>
    <row r="293" spans="1:12" ht="12">
      <c r="A293" s="96"/>
      <c r="B293" s="15"/>
      <c r="C293" s="15" t="s">
        <v>10</v>
      </c>
      <c r="D293" s="15"/>
      <c r="E293" s="15"/>
      <c r="F293" s="15"/>
      <c r="G293" s="15"/>
      <c r="H293" s="136"/>
      <c r="I293" s="475"/>
      <c r="J293" s="474"/>
      <c r="K293" s="474"/>
      <c r="L293" s="474"/>
    </row>
    <row r="294" spans="1:12" ht="12">
      <c r="A294" s="96" t="s">
        <v>356</v>
      </c>
      <c r="B294" s="15"/>
      <c r="C294" s="15"/>
      <c r="D294" s="86" t="s">
        <v>11</v>
      </c>
      <c r="E294" s="15"/>
      <c r="F294" s="15"/>
      <c r="G294" s="15"/>
      <c r="H294" s="127"/>
      <c r="I294" s="475"/>
      <c r="J294" s="474"/>
      <c r="K294" s="474"/>
      <c r="L294" s="474"/>
    </row>
    <row r="295" spans="1:12" ht="12">
      <c r="A295" s="96" t="s">
        <v>357</v>
      </c>
      <c r="B295" s="15"/>
      <c r="C295" s="15"/>
      <c r="D295" s="15" t="s">
        <v>12</v>
      </c>
      <c r="E295" s="15"/>
      <c r="F295" s="15"/>
      <c r="G295" s="15"/>
      <c r="H295" s="121"/>
      <c r="I295" s="475"/>
      <c r="J295" s="474"/>
      <c r="K295" s="474"/>
      <c r="L295" s="474"/>
    </row>
    <row r="296" spans="1:12" ht="12">
      <c r="A296" s="96" t="s">
        <v>358</v>
      </c>
      <c r="B296" s="15"/>
      <c r="C296" s="15"/>
      <c r="D296" s="15" t="s">
        <v>13</v>
      </c>
      <c r="E296" s="15"/>
      <c r="F296" s="15"/>
      <c r="G296" s="15"/>
      <c r="H296" s="127"/>
      <c r="I296" s="475"/>
      <c r="J296" s="474"/>
      <c r="K296" s="474"/>
      <c r="L296" s="474"/>
    </row>
    <row r="297" spans="1:12" ht="12">
      <c r="A297" s="96" t="s">
        <v>359</v>
      </c>
      <c r="B297" s="15"/>
      <c r="C297" s="15"/>
      <c r="D297" s="15" t="s">
        <v>14</v>
      </c>
      <c r="E297" s="15"/>
      <c r="F297" s="15"/>
      <c r="G297" s="15"/>
      <c r="H297" s="127"/>
      <c r="I297" s="475"/>
      <c r="J297" s="474"/>
      <c r="K297" s="474"/>
      <c r="L297" s="474"/>
    </row>
    <row r="298" spans="1:12" ht="12">
      <c r="A298" s="96"/>
      <c r="B298" s="15"/>
      <c r="C298" s="15" t="s">
        <v>15</v>
      </c>
      <c r="D298" s="15"/>
      <c r="E298" s="15"/>
      <c r="F298" s="15"/>
      <c r="G298" s="15"/>
      <c r="H298" s="127"/>
      <c r="I298" s="475"/>
      <c r="J298" s="474"/>
      <c r="K298" s="474"/>
      <c r="L298" s="474"/>
    </row>
    <row r="299" spans="1:12" ht="12">
      <c r="A299" s="96" t="s">
        <v>360</v>
      </c>
      <c r="B299" s="15"/>
      <c r="C299" s="15"/>
      <c r="D299" s="15" t="s">
        <v>11</v>
      </c>
      <c r="E299" s="15"/>
      <c r="F299" s="15"/>
      <c r="G299" s="15"/>
      <c r="H299" s="127"/>
      <c r="I299" s="475"/>
      <c r="J299" s="474"/>
      <c r="K299" s="474"/>
      <c r="L299" s="474"/>
    </row>
    <row r="300" spans="1:12" ht="12">
      <c r="A300" s="96" t="s">
        <v>361</v>
      </c>
      <c r="B300" s="15"/>
      <c r="C300" s="15"/>
      <c r="D300" s="15" t="s">
        <v>12</v>
      </c>
      <c r="E300" s="15"/>
      <c r="F300" s="15"/>
      <c r="G300" s="15"/>
      <c r="H300" s="127"/>
      <c r="I300" s="475"/>
      <c r="J300" s="474"/>
      <c r="K300" s="474"/>
      <c r="L300" s="474"/>
    </row>
    <row r="301" spans="1:12" ht="12">
      <c r="A301" s="96" t="s">
        <v>362</v>
      </c>
      <c r="B301" s="15"/>
      <c r="C301" s="15"/>
      <c r="D301" s="15" t="s">
        <v>13</v>
      </c>
      <c r="E301" s="15"/>
      <c r="F301" s="15"/>
      <c r="G301" s="15"/>
      <c r="H301" s="127"/>
      <c r="I301" s="475"/>
      <c r="J301" s="474"/>
      <c r="K301" s="474"/>
      <c r="L301" s="474"/>
    </row>
    <row r="302" spans="1:12" ht="12">
      <c r="A302" s="96" t="s">
        <v>363</v>
      </c>
      <c r="B302" s="15"/>
      <c r="C302" s="15"/>
      <c r="D302" s="15" t="s">
        <v>14</v>
      </c>
      <c r="E302" s="15"/>
      <c r="F302" s="15"/>
      <c r="G302" s="15"/>
      <c r="H302" s="127"/>
      <c r="I302" s="475"/>
      <c r="J302" s="474"/>
      <c r="K302" s="474"/>
      <c r="L302" s="474"/>
    </row>
    <row r="303" spans="1:12" ht="12">
      <c r="A303" s="96"/>
      <c r="B303" s="15"/>
      <c r="C303" s="15" t="s">
        <v>16</v>
      </c>
      <c r="D303" s="15"/>
      <c r="E303" s="15"/>
      <c r="F303" s="15"/>
      <c r="G303" s="15"/>
      <c r="H303" s="127"/>
      <c r="I303" s="475"/>
      <c r="J303" s="479"/>
      <c r="K303" s="479"/>
      <c r="L303" s="479"/>
    </row>
    <row r="304" spans="1:12" ht="12">
      <c r="A304" s="96"/>
      <c r="B304" s="15"/>
      <c r="C304" s="15" t="s">
        <v>10</v>
      </c>
      <c r="D304" s="15"/>
      <c r="E304" s="15"/>
      <c r="F304" s="15"/>
      <c r="G304" s="15"/>
      <c r="H304" s="136"/>
      <c r="I304" s="475"/>
      <c r="J304" s="479"/>
      <c r="K304" s="479"/>
      <c r="L304" s="479"/>
    </row>
    <row r="305" spans="1:12" ht="12">
      <c r="A305" s="96" t="s">
        <v>364</v>
      </c>
      <c r="B305" s="15"/>
      <c r="C305" s="15"/>
      <c r="D305" s="15" t="s">
        <v>17</v>
      </c>
      <c r="E305" s="15"/>
      <c r="F305" s="15"/>
      <c r="G305" s="15"/>
      <c r="H305" s="136"/>
      <c r="I305" s="475"/>
      <c r="J305" s="479"/>
      <c r="K305" s="479"/>
      <c r="L305" s="479"/>
    </row>
    <row r="306" spans="1:12" ht="12">
      <c r="A306" s="96" t="s">
        <v>365</v>
      </c>
      <c r="B306" s="15"/>
      <c r="C306" s="15"/>
      <c r="D306" s="15" t="s">
        <v>18</v>
      </c>
      <c r="E306" s="15"/>
      <c r="F306" s="15"/>
      <c r="G306" s="15"/>
      <c r="H306" s="136"/>
      <c r="I306" s="475"/>
      <c r="J306" s="479"/>
      <c r="K306" s="479"/>
      <c r="L306" s="479"/>
    </row>
    <row r="307" spans="1:12" ht="12">
      <c r="A307" s="96"/>
      <c r="B307" s="15"/>
      <c r="C307" s="15" t="s">
        <v>15</v>
      </c>
      <c r="D307" s="15"/>
      <c r="E307" s="15"/>
      <c r="F307" s="15"/>
      <c r="G307" s="15"/>
      <c r="H307" s="136"/>
      <c r="I307" s="475"/>
      <c r="J307" s="479"/>
      <c r="K307" s="479"/>
      <c r="L307" s="479"/>
    </row>
    <row r="308" spans="1:12" ht="12">
      <c r="A308" s="96" t="s">
        <v>366</v>
      </c>
      <c r="B308" s="15"/>
      <c r="C308" s="15"/>
      <c r="D308" s="15" t="s">
        <v>17</v>
      </c>
      <c r="E308" s="15"/>
      <c r="F308" s="15"/>
      <c r="G308" s="15"/>
      <c r="H308" s="127"/>
      <c r="I308" s="475"/>
      <c r="J308" s="474"/>
      <c r="K308" s="474"/>
      <c r="L308" s="474"/>
    </row>
    <row r="309" spans="1:12" ht="12">
      <c r="A309" s="96" t="s">
        <v>367</v>
      </c>
      <c r="B309" s="15"/>
      <c r="C309" s="15"/>
      <c r="D309" s="15" t="s">
        <v>19</v>
      </c>
      <c r="E309" s="15"/>
      <c r="F309" s="15"/>
      <c r="G309" s="15"/>
      <c r="H309" s="136"/>
      <c r="I309" s="475"/>
      <c r="J309" s="474"/>
      <c r="K309" s="474"/>
      <c r="L309" s="474"/>
    </row>
    <row r="310" spans="1:12" ht="12">
      <c r="A310" s="96"/>
      <c r="B310" s="15"/>
      <c r="C310" s="15" t="s">
        <v>20</v>
      </c>
      <c r="D310" s="15"/>
      <c r="E310" s="15"/>
      <c r="F310" s="15"/>
      <c r="G310" s="15"/>
      <c r="H310" s="121"/>
      <c r="I310" s="475"/>
      <c r="J310" s="474"/>
      <c r="K310" s="474"/>
      <c r="L310" s="474"/>
    </row>
    <row r="311" spans="1:12" ht="12">
      <c r="A311" s="96"/>
      <c r="B311" s="15" t="s">
        <v>207</v>
      </c>
      <c r="C311" s="15"/>
      <c r="D311" s="15"/>
      <c r="E311" s="15"/>
      <c r="F311" s="15"/>
      <c r="G311" s="15"/>
      <c r="H311" s="121"/>
      <c r="I311" s="475"/>
      <c r="J311" s="474"/>
      <c r="K311" s="474"/>
      <c r="L311" s="474"/>
    </row>
    <row r="312" spans="1:12" ht="12">
      <c r="A312" s="96"/>
      <c r="B312" s="15"/>
      <c r="C312" s="15"/>
      <c r="D312" s="15"/>
      <c r="E312" s="15"/>
      <c r="F312" s="15"/>
      <c r="G312" s="15"/>
      <c r="H312" s="121"/>
      <c r="I312" s="475"/>
      <c r="J312" s="474"/>
      <c r="K312" s="474"/>
      <c r="L312" s="474"/>
    </row>
    <row r="313" spans="1:12" ht="12">
      <c r="A313" s="85" t="s">
        <v>368</v>
      </c>
      <c r="B313" s="86" t="s">
        <v>208</v>
      </c>
      <c r="C313" s="86"/>
      <c r="D313" s="86"/>
      <c r="E313" s="86"/>
      <c r="F313" s="86"/>
      <c r="G313" s="86"/>
      <c r="H313" s="121"/>
      <c r="I313" s="475"/>
      <c r="J313" s="479"/>
      <c r="K313" s="479"/>
      <c r="L313" s="479"/>
    </row>
    <row r="314" spans="1:12" ht="12">
      <c r="A314" s="85" t="s">
        <v>369</v>
      </c>
      <c r="B314" s="86"/>
      <c r="C314" s="86" t="s">
        <v>30</v>
      </c>
      <c r="D314" s="86"/>
      <c r="E314" s="86"/>
      <c r="F314" s="86"/>
      <c r="G314" s="86"/>
      <c r="H314" s="127" t="s">
        <v>476</v>
      </c>
      <c r="I314" s="475"/>
      <c r="J314" s="474"/>
      <c r="K314" s="474"/>
      <c r="L314" s="474"/>
    </row>
    <row r="315" spans="1:12" ht="12">
      <c r="A315" s="96"/>
      <c r="B315" s="86"/>
      <c r="C315" s="86" t="s">
        <v>10</v>
      </c>
      <c r="D315" s="86"/>
      <c r="E315" s="86"/>
      <c r="F315" s="86"/>
      <c r="G315" s="86"/>
      <c r="H315" s="136"/>
      <c r="I315" s="475"/>
      <c r="J315" s="474"/>
      <c r="K315" s="474"/>
      <c r="L315" s="474"/>
    </row>
    <row r="316" spans="1:12" ht="12">
      <c r="A316" s="96" t="s">
        <v>370</v>
      </c>
      <c r="B316" s="86"/>
      <c r="C316" s="86"/>
      <c r="D316" s="86" t="s">
        <v>11</v>
      </c>
      <c r="E316" s="86"/>
      <c r="F316" s="86"/>
      <c r="G316" s="86"/>
      <c r="H316" s="127"/>
      <c r="I316" s="475"/>
      <c r="J316" s="474"/>
      <c r="K316" s="474"/>
      <c r="L316" s="474"/>
    </row>
    <row r="317" spans="1:12" ht="12">
      <c r="A317" s="96" t="s">
        <v>371</v>
      </c>
      <c r="B317" s="86"/>
      <c r="C317" s="86"/>
      <c r="D317" s="86" t="s">
        <v>12</v>
      </c>
      <c r="E317" s="86"/>
      <c r="F317" s="86"/>
      <c r="G317" s="86"/>
      <c r="H317" s="121"/>
      <c r="I317" s="475"/>
      <c r="J317" s="474"/>
      <c r="K317" s="474"/>
      <c r="L317" s="474"/>
    </row>
    <row r="318" spans="1:12" ht="12">
      <c r="A318" s="96" t="s">
        <v>372</v>
      </c>
      <c r="B318" s="86"/>
      <c r="C318" s="86"/>
      <c r="D318" s="86" t="s">
        <v>13</v>
      </c>
      <c r="E318" s="86"/>
      <c r="F318" s="86"/>
      <c r="G318" s="86"/>
      <c r="H318" s="127"/>
      <c r="I318" s="475"/>
      <c r="J318" s="474"/>
      <c r="K318" s="474"/>
      <c r="L318" s="474"/>
    </row>
    <row r="319" spans="1:12" ht="12">
      <c r="A319" s="96" t="s">
        <v>373</v>
      </c>
      <c r="B319" s="86"/>
      <c r="C319" s="86"/>
      <c r="D319" s="86" t="s">
        <v>14</v>
      </c>
      <c r="E319" s="86"/>
      <c r="F319" s="86"/>
      <c r="G319" s="86"/>
      <c r="H319" s="127"/>
      <c r="I319" s="475"/>
      <c r="J319" s="474"/>
      <c r="K319" s="474"/>
      <c r="L319" s="474"/>
    </row>
    <row r="320" spans="1:12" ht="12">
      <c r="A320" s="96"/>
      <c r="B320" s="86"/>
      <c r="C320" s="86" t="s">
        <v>15</v>
      </c>
      <c r="D320" s="86"/>
      <c r="E320" s="86"/>
      <c r="F320" s="86"/>
      <c r="G320" s="86"/>
      <c r="H320" s="127"/>
      <c r="I320" s="475"/>
      <c r="J320" s="474"/>
      <c r="K320" s="474"/>
      <c r="L320" s="474"/>
    </row>
    <row r="321" spans="1:12" ht="12">
      <c r="A321" s="96" t="s">
        <v>374</v>
      </c>
      <c r="B321" s="86"/>
      <c r="C321" s="86"/>
      <c r="D321" s="86" t="s">
        <v>11</v>
      </c>
      <c r="E321" s="86"/>
      <c r="F321" s="86"/>
      <c r="G321" s="86"/>
      <c r="H321" s="127"/>
      <c r="I321" s="475"/>
      <c r="J321" s="474"/>
      <c r="K321" s="474"/>
      <c r="L321" s="474"/>
    </row>
    <row r="322" spans="1:12" ht="12">
      <c r="A322" s="96" t="s">
        <v>375</v>
      </c>
      <c r="B322" s="86"/>
      <c r="C322" s="86"/>
      <c r="D322" s="86" t="s">
        <v>12</v>
      </c>
      <c r="E322" s="86"/>
      <c r="F322" s="86"/>
      <c r="G322" s="86"/>
      <c r="H322" s="127"/>
      <c r="I322" s="475"/>
      <c r="J322" s="474"/>
      <c r="K322" s="474"/>
      <c r="L322" s="474"/>
    </row>
    <row r="323" spans="1:12" ht="12">
      <c r="A323" s="96" t="s">
        <v>376</v>
      </c>
      <c r="B323" s="86"/>
      <c r="C323" s="86"/>
      <c r="D323" s="86" t="s">
        <v>13</v>
      </c>
      <c r="E323" s="86"/>
      <c r="F323" s="86"/>
      <c r="G323" s="86"/>
      <c r="H323" s="127"/>
      <c r="I323" s="475"/>
      <c r="J323" s="474"/>
      <c r="K323" s="474"/>
      <c r="L323" s="474"/>
    </row>
    <row r="324" spans="1:12" ht="12">
      <c r="A324" s="96" t="s">
        <v>377</v>
      </c>
      <c r="B324" s="86"/>
      <c r="C324" s="86"/>
      <c r="D324" s="86" t="s">
        <v>14</v>
      </c>
      <c r="E324" s="86"/>
      <c r="F324" s="86"/>
      <c r="G324" s="86"/>
      <c r="H324" s="127"/>
      <c r="I324" s="475"/>
      <c r="J324" s="474"/>
      <c r="K324" s="474"/>
      <c r="L324" s="474"/>
    </row>
    <row r="325" spans="1:12" ht="12">
      <c r="A325" s="96"/>
      <c r="B325" s="86"/>
      <c r="C325" s="86" t="s">
        <v>16</v>
      </c>
      <c r="D325" s="86"/>
      <c r="E325" s="86"/>
      <c r="F325" s="86"/>
      <c r="G325" s="86"/>
      <c r="H325" s="127"/>
      <c r="I325" s="475"/>
      <c r="J325" s="474"/>
      <c r="K325" s="474"/>
      <c r="L325" s="474"/>
    </row>
    <row r="326" spans="1:12" ht="12">
      <c r="A326" s="96"/>
      <c r="B326" s="86"/>
      <c r="C326" s="86" t="s">
        <v>10</v>
      </c>
      <c r="D326" s="86"/>
      <c r="E326" s="86"/>
      <c r="F326" s="86"/>
      <c r="G326" s="86"/>
      <c r="H326" s="136"/>
      <c r="I326" s="475"/>
      <c r="J326" s="474"/>
      <c r="K326" s="474"/>
      <c r="L326" s="474"/>
    </row>
    <row r="327" spans="1:12" ht="12">
      <c r="A327" s="96" t="s">
        <v>378</v>
      </c>
      <c r="B327" s="86"/>
      <c r="C327" s="86"/>
      <c r="D327" s="86" t="s">
        <v>17</v>
      </c>
      <c r="E327" s="86"/>
      <c r="F327" s="86"/>
      <c r="G327" s="86"/>
      <c r="H327" s="136"/>
      <c r="I327" s="475"/>
      <c r="J327" s="479"/>
      <c r="K327" s="479"/>
      <c r="L327" s="479"/>
    </row>
    <row r="328" spans="1:12" ht="12">
      <c r="A328" s="96" t="s">
        <v>379</v>
      </c>
      <c r="B328" s="86"/>
      <c r="C328" s="86"/>
      <c r="D328" s="86" t="s">
        <v>18</v>
      </c>
      <c r="E328" s="86"/>
      <c r="F328" s="86"/>
      <c r="G328" s="86"/>
      <c r="H328" s="136"/>
      <c r="I328" s="475"/>
      <c r="J328" s="479"/>
      <c r="K328" s="479"/>
      <c r="L328" s="479"/>
    </row>
    <row r="329" spans="1:12" ht="12">
      <c r="A329" s="96"/>
      <c r="B329" s="86"/>
      <c r="C329" s="86" t="s">
        <v>15</v>
      </c>
      <c r="D329" s="86"/>
      <c r="E329" s="86"/>
      <c r="F329" s="86"/>
      <c r="G329" s="86"/>
      <c r="H329" s="136"/>
      <c r="I329" s="475"/>
      <c r="J329" s="479"/>
      <c r="K329" s="479"/>
      <c r="L329" s="479"/>
    </row>
    <row r="330" spans="1:12" ht="12">
      <c r="A330" s="96" t="s">
        <v>380</v>
      </c>
      <c r="B330" s="86"/>
      <c r="C330" s="86"/>
      <c r="D330" s="86" t="s">
        <v>17</v>
      </c>
      <c r="E330" s="86"/>
      <c r="F330" s="86"/>
      <c r="G330" s="86"/>
      <c r="H330" s="127"/>
      <c r="I330" s="475"/>
      <c r="J330" s="479"/>
      <c r="K330" s="479"/>
      <c r="L330" s="479"/>
    </row>
    <row r="331" spans="1:12" ht="12">
      <c r="A331" s="96" t="s">
        <v>381</v>
      </c>
      <c r="B331" s="86"/>
      <c r="C331" s="86"/>
      <c r="D331" s="86" t="s">
        <v>19</v>
      </c>
      <c r="E331" s="86"/>
      <c r="F331" s="86"/>
      <c r="G331" s="86"/>
      <c r="H331" s="136"/>
      <c r="I331" s="475"/>
      <c r="J331" s="479"/>
      <c r="K331" s="479"/>
      <c r="L331" s="479"/>
    </row>
    <row r="332" spans="1:12" ht="12">
      <c r="A332" s="96"/>
      <c r="B332" s="86"/>
      <c r="C332" s="86" t="s">
        <v>20</v>
      </c>
      <c r="D332" s="86"/>
      <c r="E332" s="86"/>
      <c r="F332" s="86"/>
      <c r="G332" s="86"/>
      <c r="H332" s="120"/>
      <c r="I332" s="475"/>
      <c r="J332" s="474"/>
      <c r="K332" s="474"/>
      <c r="L332" s="474"/>
    </row>
    <row r="333" spans="1:12" ht="12">
      <c r="A333" s="352"/>
      <c r="B333" s="86" t="s">
        <v>209</v>
      </c>
      <c r="C333" s="234"/>
      <c r="D333" s="234"/>
      <c r="E333" s="234"/>
      <c r="F333" s="234"/>
      <c r="G333" s="234"/>
      <c r="H333" s="121"/>
      <c r="I333" s="475"/>
      <c r="J333" s="474"/>
      <c r="K333" s="474"/>
      <c r="L333" s="474"/>
    </row>
    <row r="334" spans="1:12" ht="12">
      <c r="A334" s="352"/>
      <c r="H334" s="121"/>
      <c r="I334" s="475"/>
      <c r="J334" s="474"/>
      <c r="K334" s="474"/>
      <c r="L334" s="474"/>
    </row>
    <row r="335" spans="1:12" ht="12">
      <c r="A335" s="85" t="s">
        <v>382</v>
      </c>
      <c r="B335" s="86" t="s">
        <v>210</v>
      </c>
      <c r="C335" s="86"/>
      <c r="D335" s="86"/>
      <c r="E335" s="86"/>
      <c r="F335" s="86"/>
      <c r="G335" s="86"/>
      <c r="H335" s="121"/>
      <c r="I335" s="475"/>
      <c r="J335" s="474"/>
      <c r="K335" s="474"/>
      <c r="L335" s="474"/>
    </row>
    <row r="336" spans="1:12" ht="12">
      <c r="A336" s="85" t="s">
        <v>383</v>
      </c>
      <c r="B336" s="86"/>
      <c r="C336" s="86" t="s">
        <v>30</v>
      </c>
      <c r="D336" s="86"/>
      <c r="E336" s="86"/>
      <c r="F336" s="86"/>
      <c r="G336" s="86"/>
      <c r="H336" s="127" t="s">
        <v>477</v>
      </c>
      <c r="I336" s="475"/>
      <c r="J336" s="474"/>
      <c r="K336" s="474"/>
      <c r="L336" s="474"/>
    </row>
    <row r="337" spans="1:12" ht="12">
      <c r="A337" s="96"/>
      <c r="B337" s="86"/>
      <c r="C337" s="86" t="s">
        <v>10</v>
      </c>
      <c r="D337" s="86"/>
      <c r="E337" s="86"/>
      <c r="F337" s="86"/>
      <c r="G337" s="86"/>
      <c r="H337" s="136" t="s">
        <v>429</v>
      </c>
      <c r="I337" s="475"/>
      <c r="J337" s="479"/>
      <c r="K337" s="479"/>
      <c r="L337" s="479"/>
    </row>
    <row r="338" spans="1:12" ht="12">
      <c r="A338" s="96" t="s">
        <v>384</v>
      </c>
      <c r="B338" s="86"/>
      <c r="C338" s="86"/>
      <c r="D338" s="86" t="s">
        <v>11</v>
      </c>
      <c r="E338" s="86"/>
      <c r="F338" s="86"/>
      <c r="G338" s="86"/>
      <c r="H338" s="127" t="s">
        <v>478</v>
      </c>
      <c r="I338" s="475"/>
      <c r="J338" s="127"/>
      <c r="K338" s="474"/>
      <c r="L338" s="474"/>
    </row>
    <row r="339" spans="1:12" ht="12">
      <c r="A339" s="96" t="s">
        <v>385</v>
      </c>
      <c r="B339" s="86"/>
      <c r="C339" s="86"/>
      <c r="D339" s="86" t="s">
        <v>12</v>
      </c>
      <c r="E339" s="86"/>
      <c r="F339" s="86"/>
      <c r="G339" s="86"/>
      <c r="H339" s="121"/>
      <c r="I339" s="475"/>
      <c r="J339" s="477"/>
      <c r="K339" s="474"/>
      <c r="L339" s="474"/>
    </row>
    <row r="340" spans="1:12" ht="12">
      <c r="A340" s="96" t="s">
        <v>386</v>
      </c>
      <c r="B340" s="86"/>
      <c r="C340" s="86"/>
      <c r="D340" s="86" t="s">
        <v>13</v>
      </c>
      <c r="E340" s="86"/>
      <c r="F340" s="86"/>
      <c r="G340" s="86"/>
      <c r="H340" s="127"/>
      <c r="I340" s="475"/>
      <c r="J340" s="477"/>
      <c r="K340" s="474"/>
      <c r="L340" s="474"/>
    </row>
    <row r="341" spans="1:12" ht="12">
      <c r="A341" s="96" t="s">
        <v>387</v>
      </c>
      <c r="B341" s="86"/>
      <c r="C341" s="86"/>
      <c r="D341" s="86" t="s">
        <v>14</v>
      </c>
      <c r="E341" s="86"/>
      <c r="F341" s="86"/>
      <c r="G341" s="86"/>
      <c r="H341" s="127"/>
      <c r="I341" s="475"/>
      <c r="J341" s="477"/>
      <c r="K341" s="474"/>
      <c r="L341" s="474"/>
    </row>
    <row r="342" spans="1:12" ht="12">
      <c r="A342" s="96"/>
      <c r="B342" s="86"/>
      <c r="C342" s="86" t="s">
        <v>15</v>
      </c>
      <c r="D342" s="86"/>
      <c r="E342" s="86"/>
      <c r="F342" s="86"/>
      <c r="G342" s="86"/>
      <c r="H342" s="127"/>
      <c r="I342" s="475"/>
      <c r="J342" s="477"/>
      <c r="K342" s="474"/>
      <c r="L342" s="474"/>
    </row>
    <row r="343" spans="1:12" ht="12">
      <c r="A343" s="96" t="s">
        <v>388</v>
      </c>
      <c r="B343" s="86"/>
      <c r="C343" s="86"/>
      <c r="D343" s="86" t="s">
        <v>11</v>
      </c>
      <c r="E343" s="86"/>
      <c r="F343" s="86"/>
      <c r="G343" s="86"/>
      <c r="H343" s="127"/>
      <c r="I343" s="475"/>
      <c r="J343" s="477"/>
      <c r="K343" s="474"/>
      <c r="L343" s="474"/>
    </row>
    <row r="344" spans="1:12" ht="12">
      <c r="A344" s="96" t="s">
        <v>389</v>
      </c>
      <c r="B344" s="86"/>
      <c r="C344" s="86"/>
      <c r="D344" s="86" t="s">
        <v>12</v>
      </c>
      <c r="E344" s="86"/>
      <c r="F344" s="86"/>
      <c r="G344" s="86"/>
      <c r="H344" s="127"/>
      <c r="I344" s="475"/>
      <c r="J344" s="477"/>
      <c r="K344" s="474"/>
      <c r="L344" s="474"/>
    </row>
    <row r="345" spans="1:12" ht="12">
      <c r="A345" s="96" t="s">
        <v>390</v>
      </c>
      <c r="B345" s="86"/>
      <c r="C345" s="86"/>
      <c r="D345" s="86" t="s">
        <v>13</v>
      </c>
      <c r="E345" s="86"/>
      <c r="F345" s="86"/>
      <c r="G345" s="86"/>
      <c r="H345" s="127"/>
      <c r="I345" s="475"/>
      <c r="J345" s="474"/>
      <c r="K345" s="474"/>
      <c r="L345" s="474"/>
    </row>
    <row r="346" spans="1:12" ht="12">
      <c r="A346" s="96" t="s">
        <v>391</v>
      </c>
      <c r="B346" s="86"/>
      <c r="C346" s="86"/>
      <c r="D346" s="86" t="s">
        <v>14</v>
      </c>
      <c r="E346" s="86"/>
      <c r="F346" s="86"/>
      <c r="G346" s="86"/>
      <c r="H346" s="127"/>
      <c r="I346" s="475"/>
      <c r="J346" s="476"/>
      <c r="K346" s="474"/>
      <c r="L346" s="474"/>
    </row>
    <row r="347" spans="1:12" ht="12">
      <c r="A347" s="96"/>
      <c r="B347" s="86"/>
      <c r="C347" s="86" t="s">
        <v>16</v>
      </c>
      <c r="D347" s="86"/>
      <c r="E347" s="86"/>
      <c r="F347" s="86"/>
      <c r="G347" s="86"/>
      <c r="H347" s="127"/>
      <c r="I347" s="475"/>
      <c r="J347" s="476"/>
      <c r="K347" s="474"/>
      <c r="L347" s="474"/>
    </row>
    <row r="348" spans="1:12" ht="12">
      <c r="A348" s="96"/>
      <c r="B348" s="86"/>
      <c r="C348" s="86" t="s">
        <v>10</v>
      </c>
      <c r="D348" s="86"/>
      <c r="E348" s="86"/>
      <c r="F348" s="86"/>
      <c r="G348" s="86"/>
      <c r="H348" s="136"/>
      <c r="I348" s="475"/>
      <c r="J348" s="476"/>
      <c r="K348" s="474"/>
      <c r="L348" s="474"/>
    </row>
    <row r="349" spans="1:12" ht="12">
      <c r="A349" s="96" t="s">
        <v>392</v>
      </c>
      <c r="B349" s="86"/>
      <c r="C349" s="86"/>
      <c r="D349" s="86" t="s">
        <v>17</v>
      </c>
      <c r="E349" s="86"/>
      <c r="F349" s="86"/>
      <c r="G349" s="86"/>
      <c r="H349" s="136"/>
      <c r="I349" s="475"/>
      <c r="J349" s="476"/>
      <c r="K349" s="474"/>
      <c r="L349" s="474"/>
    </row>
    <row r="350" spans="1:12" ht="12">
      <c r="A350" s="96" t="s">
        <v>393</v>
      </c>
      <c r="B350" s="86"/>
      <c r="C350" s="86"/>
      <c r="D350" s="86" t="s">
        <v>18</v>
      </c>
      <c r="E350" s="86"/>
      <c r="F350" s="86"/>
      <c r="G350" s="86"/>
      <c r="H350" s="136"/>
      <c r="I350" s="475"/>
      <c r="J350" s="473"/>
      <c r="K350" s="474"/>
      <c r="L350" s="474"/>
    </row>
    <row r="351" spans="1:12" ht="12">
      <c r="A351" s="96"/>
      <c r="B351" s="86"/>
      <c r="C351" s="86" t="s">
        <v>15</v>
      </c>
      <c r="D351" s="86"/>
      <c r="E351" s="86"/>
      <c r="F351" s="86"/>
      <c r="G351" s="86"/>
      <c r="H351" s="136"/>
      <c r="I351" s="475"/>
      <c r="J351" s="479"/>
      <c r="K351" s="479"/>
      <c r="L351" s="479"/>
    </row>
    <row r="352" spans="1:12" ht="12">
      <c r="A352" s="96" t="s">
        <v>394</v>
      </c>
      <c r="B352" s="86"/>
      <c r="C352" s="86"/>
      <c r="D352" s="86" t="s">
        <v>17</v>
      </c>
      <c r="E352" s="86"/>
      <c r="F352" s="86"/>
      <c r="G352" s="86"/>
      <c r="H352" s="127"/>
      <c r="I352" s="475"/>
      <c r="J352" s="479"/>
      <c r="K352" s="479"/>
      <c r="L352" s="479"/>
    </row>
    <row r="353" spans="1:12" ht="12">
      <c r="A353" s="96" t="s">
        <v>395</v>
      </c>
      <c r="B353" s="86"/>
      <c r="C353" s="86"/>
      <c r="D353" s="86" t="s">
        <v>19</v>
      </c>
      <c r="E353" s="86"/>
      <c r="F353" s="86"/>
      <c r="G353" s="86"/>
      <c r="H353" s="136"/>
      <c r="I353" s="475"/>
      <c r="J353" s="479"/>
      <c r="K353" s="479"/>
      <c r="L353" s="479"/>
    </row>
    <row r="354" spans="1:12" ht="12">
      <c r="A354" s="96"/>
      <c r="B354" s="86"/>
      <c r="C354" s="86" t="s">
        <v>20</v>
      </c>
      <c r="D354" s="86"/>
      <c r="E354" s="86"/>
      <c r="F354" s="86"/>
      <c r="G354" s="86"/>
      <c r="H354" s="120"/>
      <c r="I354" s="475"/>
      <c r="J354" s="479"/>
      <c r="K354" s="479"/>
      <c r="L354" s="479"/>
    </row>
    <row r="355" spans="1:12" ht="12">
      <c r="A355" s="352"/>
      <c r="B355" s="86" t="s">
        <v>211</v>
      </c>
      <c r="C355" s="234"/>
      <c r="D355" s="234"/>
      <c r="E355" s="234"/>
      <c r="F355" s="234"/>
      <c r="G355" s="234"/>
      <c r="H355" s="120"/>
      <c r="I355" s="475"/>
      <c r="J355" s="479"/>
      <c r="K355" s="479"/>
      <c r="L355" s="479"/>
    </row>
    <row r="356" spans="1:12" ht="12">
      <c r="A356" s="352"/>
      <c r="H356" s="120"/>
      <c r="I356" s="475"/>
      <c r="J356" s="474"/>
      <c r="K356" s="474"/>
      <c r="L356" s="474"/>
    </row>
    <row r="357" spans="1:12" ht="12">
      <c r="A357" s="85" t="s">
        <v>396</v>
      </c>
      <c r="B357" s="86" t="s">
        <v>212</v>
      </c>
      <c r="C357" s="86"/>
      <c r="D357" s="86"/>
      <c r="E357" s="86"/>
      <c r="F357" s="86"/>
      <c r="G357" s="234"/>
      <c r="H357" s="121"/>
      <c r="I357" s="475"/>
      <c r="J357" s="474"/>
      <c r="K357" s="474"/>
      <c r="L357" s="474"/>
    </row>
    <row r="358" spans="1:12" ht="12">
      <c r="A358" s="85" t="s">
        <v>397</v>
      </c>
      <c r="B358" s="86"/>
      <c r="C358" s="86" t="s">
        <v>30</v>
      </c>
      <c r="D358" s="86"/>
      <c r="E358" s="86"/>
      <c r="F358" s="86"/>
      <c r="G358" s="234"/>
      <c r="H358" s="127" t="s">
        <v>479</v>
      </c>
      <c r="I358" s="475"/>
      <c r="J358" s="474"/>
      <c r="K358" s="474"/>
      <c r="L358" s="474"/>
    </row>
    <row r="359" spans="1:12" ht="12">
      <c r="A359" s="96"/>
      <c r="B359" s="86"/>
      <c r="C359" s="86" t="s">
        <v>10</v>
      </c>
      <c r="D359" s="86"/>
      <c r="E359" s="86"/>
      <c r="F359" s="86"/>
      <c r="G359" s="234"/>
      <c r="H359" s="136"/>
      <c r="I359" s="475"/>
      <c r="J359" s="474"/>
      <c r="K359" s="474"/>
      <c r="L359" s="474"/>
    </row>
    <row r="360" spans="1:12" ht="12">
      <c r="A360" s="96" t="s">
        <v>398</v>
      </c>
      <c r="B360" s="86"/>
      <c r="C360" s="86"/>
      <c r="D360" s="86" t="s">
        <v>11</v>
      </c>
      <c r="E360" s="86"/>
      <c r="F360" s="86"/>
      <c r="G360" s="234"/>
      <c r="H360" s="127"/>
      <c r="I360" s="475"/>
      <c r="J360" s="474"/>
      <c r="K360" s="474"/>
      <c r="L360" s="474"/>
    </row>
    <row r="361" spans="1:12" ht="12">
      <c r="A361" s="96" t="s">
        <v>399</v>
      </c>
      <c r="B361" s="86"/>
      <c r="C361" s="86"/>
      <c r="D361" s="86" t="s">
        <v>12</v>
      </c>
      <c r="E361" s="86"/>
      <c r="F361" s="86"/>
      <c r="G361" s="234"/>
      <c r="H361" s="121"/>
      <c r="I361" s="475"/>
      <c r="J361" s="474"/>
      <c r="K361" s="474"/>
      <c r="L361" s="474"/>
    </row>
    <row r="362" spans="1:12" ht="12">
      <c r="A362" s="96" t="s">
        <v>400</v>
      </c>
      <c r="B362" s="86"/>
      <c r="C362" s="86"/>
      <c r="D362" s="86" t="s">
        <v>13</v>
      </c>
      <c r="E362" s="86"/>
      <c r="F362" s="86"/>
      <c r="G362" s="234"/>
      <c r="H362" s="127"/>
      <c r="I362" s="475"/>
      <c r="J362" s="479"/>
      <c r="K362" s="479"/>
      <c r="L362" s="479"/>
    </row>
    <row r="363" spans="1:12" ht="12">
      <c r="A363" s="96" t="s">
        <v>401</v>
      </c>
      <c r="B363" s="86"/>
      <c r="C363" s="86"/>
      <c r="D363" s="86" t="s">
        <v>14</v>
      </c>
      <c r="E363" s="86"/>
      <c r="F363" s="86"/>
      <c r="G363" s="234"/>
      <c r="H363" s="127"/>
      <c r="I363" s="475"/>
      <c r="J363" s="474"/>
      <c r="K363" s="474"/>
      <c r="L363" s="474"/>
    </row>
    <row r="364" spans="1:12" ht="12">
      <c r="A364" s="96"/>
      <c r="B364" s="86"/>
      <c r="C364" s="86" t="s">
        <v>15</v>
      </c>
      <c r="D364" s="86"/>
      <c r="E364" s="86"/>
      <c r="F364" s="86"/>
      <c r="G364" s="234"/>
      <c r="H364" s="127"/>
      <c r="I364" s="475"/>
      <c r="J364" s="479"/>
      <c r="K364" s="479"/>
      <c r="L364" s="479"/>
    </row>
    <row r="365" spans="1:12" ht="12">
      <c r="A365" s="96" t="s">
        <v>402</v>
      </c>
      <c r="B365" s="86"/>
      <c r="C365" s="86"/>
      <c r="D365" s="86" t="s">
        <v>11</v>
      </c>
      <c r="E365" s="86"/>
      <c r="F365" s="86"/>
      <c r="G365" s="234"/>
      <c r="H365" s="127"/>
      <c r="I365" s="475"/>
      <c r="J365" s="479"/>
      <c r="K365" s="479"/>
      <c r="L365" s="479"/>
    </row>
    <row r="366" spans="1:12" ht="12">
      <c r="A366" s="96" t="s">
        <v>403</v>
      </c>
      <c r="B366" s="86"/>
      <c r="C366" s="86"/>
      <c r="D366" s="86" t="s">
        <v>12</v>
      </c>
      <c r="E366" s="86"/>
      <c r="F366" s="86"/>
      <c r="G366" s="234"/>
      <c r="H366" s="127"/>
      <c r="I366" s="475"/>
      <c r="J366" s="474"/>
      <c r="K366" s="479"/>
      <c r="L366" s="479"/>
    </row>
    <row r="367" spans="1:12" ht="12">
      <c r="A367" s="96" t="s">
        <v>404</v>
      </c>
      <c r="B367" s="86"/>
      <c r="C367" s="86"/>
      <c r="D367" s="86" t="s">
        <v>13</v>
      </c>
      <c r="E367" s="86"/>
      <c r="F367" s="86"/>
      <c r="G367" s="234"/>
      <c r="H367" s="127"/>
      <c r="I367" s="475"/>
      <c r="J367" s="479"/>
      <c r="K367" s="479"/>
      <c r="L367" s="479"/>
    </row>
    <row r="368" spans="1:12" ht="12">
      <c r="A368" s="96" t="s">
        <v>405</v>
      </c>
      <c r="B368" s="86"/>
      <c r="C368" s="86"/>
      <c r="D368" s="86" t="s">
        <v>14</v>
      </c>
      <c r="E368" s="86"/>
      <c r="F368" s="86"/>
      <c r="G368" s="234"/>
      <c r="H368" s="127"/>
      <c r="I368" s="475"/>
      <c r="J368" s="479"/>
      <c r="K368" s="479"/>
      <c r="L368" s="479"/>
    </row>
    <row r="369" spans="1:12" ht="12">
      <c r="A369" s="96"/>
      <c r="B369" s="86"/>
      <c r="C369" s="86" t="s">
        <v>16</v>
      </c>
      <c r="D369" s="86"/>
      <c r="E369" s="86"/>
      <c r="F369" s="86"/>
      <c r="G369" s="234"/>
      <c r="H369" s="127"/>
      <c r="I369" s="475"/>
      <c r="J369" s="479"/>
      <c r="K369" s="479"/>
      <c r="L369" s="479"/>
    </row>
    <row r="370" spans="1:12" ht="12">
      <c r="A370" s="96"/>
      <c r="B370" s="86"/>
      <c r="C370" s="86" t="s">
        <v>10</v>
      </c>
      <c r="D370" s="86"/>
      <c r="E370" s="86"/>
      <c r="F370" s="86"/>
      <c r="G370" s="234"/>
      <c r="H370" s="136"/>
      <c r="I370" s="475"/>
      <c r="J370" s="479"/>
      <c r="K370" s="479"/>
      <c r="L370" s="479"/>
    </row>
    <row r="371" spans="1:12" ht="12">
      <c r="A371" s="96" t="s">
        <v>406</v>
      </c>
      <c r="B371" s="86"/>
      <c r="C371" s="86"/>
      <c r="D371" s="86" t="s">
        <v>17</v>
      </c>
      <c r="E371" s="86"/>
      <c r="F371" s="86"/>
      <c r="G371" s="234"/>
      <c r="H371" s="136"/>
      <c r="I371" s="475"/>
      <c r="J371" s="479"/>
      <c r="K371" s="479"/>
      <c r="L371" s="479"/>
    </row>
    <row r="372" spans="1:12" ht="12">
      <c r="A372" s="96" t="s">
        <v>407</v>
      </c>
      <c r="B372" s="86"/>
      <c r="C372" s="86"/>
      <c r="D372" s="86" t="s">
        <v>18</v>
      </c>
      <c r="E372" s="86"/>
      <c r="F372" s="86"/>
      <c r="G372" s="234"/>
      <c r="H372" s="136"/>
      <c r="I372" s="475"/>
      <c r="J372" s="479"/>
      <c r="K372" s="479"/>
      <c r="L372" s="479"/>
    </row>
    <row r="373" spans="1:12" ht="12">
      <c r="A373" s="96"/>
      <c r="B373" s="86"/>
      <c r="C373" s="86" t="s">
        <v>15</v>
      </c>
      <c r="D373" s="86"/>
      <c r="E373" s="86"/>
      <c r="F373" s="86"/>
      <c r="G373" s="86"/>
      <c r="H373" s="136"/>
      <c r="I373" s="475"/>
      <c r="J373" s="479"/>
      <c r="K373" s="479"/>
      <c r="L373" s="479"/>
    </row>
    <row r="374" spans="1:12" ht="12">
      <c r="A374" s="96" t="s">
        <v>408</v>
      </c>
      <c r="B374" s="86"/>
      <c r="C374" s="86"/>
      <c r="D374" s="86" t="s">
        <v>17</v>
      </c>
      <c r="E374" s="86"/>
      <c r="F374" s="86"/>
      <c r="G374" s="86"/>
      <c r="H374" s="127"/>
      <c r="I374" s="475"/>
      <c r="J374" s="479"/>
      <c r="K374" s="479"/>
      <c r="L374" s="479"/>
    </row>
    <row r="375" spans="1:12" ht="12">
      <c r="A375" s="96" t="s">
        <v>409</v>
      </c>
      <c r="B375" s="86"/>
      <c r="C375" s="86"/>
      <c r="D375" s="86" t="s">
        <v>19</v>
      </c>
      <c r="E375" s="86"/>
      <c r="F375" s="86"/>
      <c r="G375" s="86"/>
      <c r="H375" s="136"/>
      <c r="I375" s="475"/>
      <c r="J375" s="474"/>
      <c r="K375" s="474"/>
      <c r="L375" s="474"/>
    </row>
    <row r="376" spans="1:12" ht="12">
      <c r="A376" s="96"/>
      <c r="B376" s="86"/>
      <c r="C376" s="86" t="s">
        <v>20</v>
      </c>
      <c r="D376" s="86"/>
      <c r="E376" s="86"/>
      <c r="F376" s="86"/>
      <c r="G376" s="86"/>
      <c r="H376" s="120"/>
      <c r="I376" s="475"/>
      <c r="J376" s="479"/>
      <c r="K376" s="479"/>
      <c r="L376" s="479"/>
    </row>
    <row r="377" spans="1:12" ht="12">
      <c r="A377" s="96"/>
      <c r="B377" s="86" t="s">
        <v>213</v>
      </c>
      <c r="C377" s="86"/>
      <c r="D377" s="86"/>
      <c r="E377" s="86"/>
      <c r="F377" s="86"/>
      <c r="G377" s="86"/>
      <c r="H377" s="120"/>
      <c r="I377" s="475"/>
      <c r="J377" s="479"/>
      <c r="K377" s="479"/>
      <c r="L377" s="479"/>
    </row>
    <row r="378" spans="1:12" ht="12.75" thickBot="1">
      <c r="A378" s="85"/>
      <c r="B378" s="86"/>
      <c r="C378" s="86"/>
      <c r="D378" s="86"/>
      <c r="E378" s="86"/>
      <c r="F378" s="86"/>
      <c r="G378" s="86"/>
      <c r="H378" s="120"/>
      <c r="I378" s="475"/>
      <c r="J378" s="479"/>
      <c r="K378" s="479"/>
      <c r="L378" s="479"/>
    </row>
    <row r="379" spans="1:12" ht="12.75" thickTop="1">
      <c r="A379" s="108"/>
      <c r="B379" s="82" t="s">
        <v>134</v>
      </c>
      <c r="C379" s="82"/>
      <c r="D379" s="82"/>
      <c r="E379" s="82"/>
      <c r="F379" s="82"/>
      <c r="G379" s="82"/>
      <c r="H379" s="489"/>
      <c r="I379" s="490"/>
      <c r="J379" s="491"/>
      <c r="K379" s="491"/>
      <c r="L379" s="491"/>
    </row>
    <row r="380" spans="1:12" ht="12">
      <c r="A380" s="85"/>
      <c r="B380" s="15"/>
      <c r="C380" s="15"/>
      <c r="D380" s="15"/>
      <c r="E380" s="15"/>
      <c r="F380" s="15"/>
      <c r="G380" s="15"/>
      <c r="H380" s="120"/>
      <c r="I380" s="475"/>
      <c r="J380" s="479"/>
      <c r="K380" s="479"/>
      <c r="L380" s="479"/>
    </row>
    <row r="381" spans="1:12" ht="12">
      <c r="A381" s="85">
        <v>5</v>
      </c>
      <c r="B381" s="35" t="s">
        <v>31</v>
      </c>
      <c r="C381" s="35"/>
      <c r="D381" s="35"/>
      <c r="E381" s="35"/>
      <c r="F381" s="35"/>
      <c r="G381" s="86"/>
      <c r="H381" s="120"/>
      <c r="I381" s="475"/>
      <c r="J381" s="479"/>
      <c r="K381" s="479"/>
      <c r="L381" s="479"/>
    </row>
    <row r="382" spans="1:12" ht="36">
      <c r="A382" s="85" t="s">
        <v>55</v>
      </c>
      <c r="B382" s="15" t="s">
        <v>100</v>
      </c>
      <c r="C382" s="15"/>
      <c r="D382" s="15"/>
      <c r="E382" s="15"/>
      <c r="F382" s="15"/>
      <c r="G382" s="15"/>
      <c r="H382" s="121"/>
      <c r="I382" s="475"/>
      <c r="J382" s="473" t="s">
        <v>506</v>
      </c>
      <c r="K382" s="474"/>
      <c r="L382" s="474"/>
    </row>
    <row r="383" spans="1:12" ht="16.5" customHeight="1">
      <c r="A383" s="85"/>
      <c r="B383" s="15"/>
      <c r="C383" s="15"/>
      <c r="D383" s="15"/>
      <c r="E383" s="15"/>
      <c r="F383" s="15"/>
      <c r="G383" s="15"/>
      <c r="H383" s="120"/>
      <c r="I383" s="475"/>
      <c r="J383" s="474"/>
      <c r="K383" s="474"/>
      <c r="L383" s="474"/>
    </row>
    <row r="384" spans="1:12" ht="12">
      <c r="A384" s="85" t="s">
        <v>56</v>
      </c>
      <c r="B384" s="15" t="s">
        <v>99</v>
      </c>
      <c r="C384" s="15"/>
      <c r="D384" s="15"/>
      <c r="E384" s="15"/>
      <c r="F384" s="15"/>
      <c r="G384" s="15"/>
      <c r="H384" s="121"/>
      <c r="I384" s="475"/>
      <c r="J384" s="474"/>
      <c r="K384" s="474"/>
      <c r="L384" s="474"/>
    </row>
    <row r="385" spans="1:12" ht="12.75" thickBot="1">
      <c r="A385" s="85"/>
      <c r="B385" s="15"/>
      <c r="C385" s="15"/>
      <c r="D385" s="15"/>
      <c r="E385" s="15"/>
      <c r="F385" s="15"/>
      <c r="G385" s="15"/>
      <c r="H385" s="121"/>
      <c r="I385" s="475"/>
      <c r="J385" s="474"/>
      <c r="K385" s="474"/>
      <c r="L385" s="474"/>
    </row>
    <row r="386" spans="1:12" ht="12.75" thickTop="1">
      <c r="A386" s="108"/>
      <c r="B386" s="82" t="s">
        <v>32</v>
      </c>
      <c r="C386" s="82"/>
      <c r="D386" s="82"/>
      <c r="E386" s="82"/>
      <c r="F386" s="82"/>
      <c r="G386" s="82"/>
      <c r="H386" s="482"/>
      <c r="I386" s="490"/>
      <c r="J386" s="491"/>
      <c r="K386" s="491"/>
      <c r="L386" s="491"/>
    </row>
    <row r="387" spans="1:12" ht="12">
      <c r="A387" s="85"/>
      <c r="B387" s="15"/>
      <c r="C387" s="15"/>
      <c r="D387" s="15"/>
      <c r="E387" s="15"/>
      <c r="F387" s="15"/>
      <c r="G387" s="15"/>
      <c r="H387" s="121"/>
      <c r="I387" s="475"/>
      <c r="J387" s="474"/>
      <c r="K387" s="474"/>
      <c r="L387" s="474"/>
    </row>
    <row r="388" spans="1:12" ht="12">
      <c r="A388" s="85">
        <v>6</v>
      </c>
      <c r="B388" s="33" t="s">
        <v>33</v>
      </c>
      <c r="C388" s="33"/>
      <c r="D388" s="33"/>
      <c r="E388" s="33"/>
      <c r="F388" s="33"/>
      <c r="G388" s="33"/>
      <c r="H388" s="121"/>
      <c r="I388" s="475"/>
      <c r="J388" s="474"/>
      <c r="K388" s="474"/>
      <c r="L388" s="474"/>
    </row>
    <row r="389" spans="1:12" ht="12">
      <c r="A389" s="224" t="s">
        <v>59</v>
      </c>
      <c r="B389" s="170" t="s">
        <v>141</v>
      </c>
      <c r="C389" s="170"/>
      <c r="D389" s="170"/>
      <c r="E389" s="170"/>
      <c r="F389" s="170"/>
      <c r="G389" s="170"/>
      <c r="H389" s="121"/>
      <c r="I389" s="475"/>
      <c r="J389" s="474"/>
      <c r="K389" s="474"/>
      <c r="L389" s="474"/>
    </row>
    <row r="390" spans="1:12" ht="12">
      <c r="A390" s="85" t="s">
        <v>60</v>
      </c>
      <c r="B390" s="15" t="s">
        <v>34</v>
      </c>
      <c r="C390" s="15"/>
      <c r="D390" s="15"/>
      <c r="E390" s="15"/>
      <c r="F390" s="15"/>
      <c r="G390" s="15"/>
      <c r="H390" s="121"/>
      <c r="I390" s="475"/>
      <c r="J390" s="474"/>
      <c r="K390" s="474"/>
      <c r="L390" s="474"/>
    </row>
    <row r="391" spans="1:12" ht="12">
      <c r="A391" s="85" t="s">
        <v>61</v>
      </c>
      <c r="B391" s="15" t="s">
        <v>35</v>
      </c>
      <c r="C391" s="15"/>
      <c r="D391" s="15"/>
      <c r="E391" s="15"/>
      <c r="F391" s="15"/>
      <c r="G391" s="15"/>
      <c r="H391" s="121"/>
      <c r="I391" s="475"/>
      <c r="J391" s="479"/>
      <c r="K391" s="474"/>
      <c r="L391" s="474"/>
    </row>
    <row r="392" spans="1:12" ht="12">
      <c r="A392" s="85" t="s">
        <v>62</v>
      </c>
      <c r="B392" s="15" t="s">
        <v>36</v>
      </c>
      <c r="C392" s="15"/>
      <c r="D392" s="15"/>
      <c r="E392" s="15"/>
      <c r="F392" s="15"/>
      <c r="G392" s="15"/>
      <c r="H392" s="121"/>
      <c r="I392" s="475"/>
      <c r="J392" s="479"/>
      <c r="K392" s="474"/>
      <c r="L392" s="474"/>
    </row>
    <row r="393" spans="1:12" ht="12">
      <c r="A393" s="85" t="s">
        <v>63</v>
      </c>
      <c r="B393" s="15" t="s">
        <v>481</v>
      </c>
      <c r="C393" s="15"/>
      <c r="D393" s="15"/>
      <c r="E393" s="15"/>
      <c r="F393" s="15"/>
      <c r="G393" s="15"/>
      <c r="H393" s="121" t="s">
        <v>482</v>
      </c>
      <c r="I393" s="475"/>
      <c r="J393" s="479"/>
      <c r="K393" s="474"/>
      <c r="L393" s="474"/>
    </row>
    <row r="394" spans="1:12" ht="36">
      <c r="A394" s="85" t="s">
        <v>115</v>
      </c>
      <c r="B394" s="15" t="s">
        <v>37</v>
      </c>
      <c r="C394" s="15"/>
      <c r="D394" s="15"/>
      <c r="E394" s="15"/>
      <c r="F394" s="15"/>
      <c r="G394" s="15"/>
      <c r="H394" s="121"/>
      <c r="I394" s="475"/>
      <c r="J394" s="480" t="s">
        <v>507</v>
      </c>
      <c r="K394" s="480" t="s">
        <v>511</v>
      </c>
      <c r="L394" s="480" t="s">
        <v>512</v>
      </c>
    </row>
    <row r="395" spans="1:12" ht="12.75" thickBot="1">
      <c r="A395" s="93" t="s">
        <v>148</v>
      </c>
      <c r="B395" s="80" t="s">
        <v>38</v>
      </c>
      <c r="C395" s="80"/>
      <c r="D395" s="80"/>
      <c r="E395" s="80"/>
      <c r="F395" s="80"/>
      <c r="G395" s="80"/>
      <c r="H395" s="121"/>
      <c r="I395" s="475"/>
      <c r="J395" s="479"/>
      <c r="K395" s="474"/>
      <c r="L395" s="474"/>
    </row>
    <row r="396" spans="1:12" ht="12.75" thickTop="1">
      <c r="A396" s="108"/>
      <c r="B396" s="82" t="s">
        <v>39</v>
      </c>
      <c r="C396" s="82"/>
      <c r="D396" s="82"/>
      <c r="E396" s="82"/>
      <c r="F396" s="82"/>
      <c r="G396" s="82"/>
      <c r="H396" s="482"/>
      <c r="I396" s="490"/>
      <c r="J396" s="491"/>
      <c r="K396" s="492"/>
      <c r="L396" s="492"/>
    </row>
    <row r="397" spans="1:12" ht="12.75" thickBot="1">
      <c r="A397" s="93"/>
      <c r="B397" s="80"/>
      <c r="C397" s="80"/>
      <c r="D397" s="80"/>
      <c r="E397" s="80"/>
      <c r="F397" s="80"/>
      <c r="G397" s="80"/>
      <c r="H397" s="120"/>
      <c r="I397" s="475"/>
      <c r="J397" s="479"/>
      <c r="K397" s="474"/>
      <c r="L397" s="474"/>
    </row>
    <row r="398" spans="1:12" ht="12.75" thickTop="1">
      <c r="A398" s="108"/>
      <c r="B398" s="493" t="s">
        <v>410</v>
      </c>
      <c r="C398" s="493"/>
      <c r="D398" s="82"/>
      <c r="E398" s="82"/>
      <c r="F398" s="82"/>
      <c r="G398" s="82"/>
      <c r="H398" s="489"/>
      <c r="I398" s="490"/>
      <c r="J398" s="491"/>
      <c r="K398" s="492"/>
      <c r="L398" s="492"/>
    </row>
    <row r="399" spans="1:12" ht="12">
      <c r="A399" s="85"/>
      <c r="B399" s="15"/>
      <c r="C399" s="15"/>
      <c r="D399" s="15"/>
      <c r="E399" s="15"/>
      <c r="F399" s="15"/>
      <c r="H399" s="121"/>
      <c r="I399" s="475"/>
      <c r="J399" s="474"/>
      <c r="K399" s="474"/>
      <c r="L399" s="474"/>
    </row>
    <row r="400" spans="1:12" ht="12">
      <c r="A400" s="85">
        <v>7</v>
      </c>
      <c r="B400" s="21" t="s">
        <v>40</v>
      </c>
      <c r="C400" s="21"/>
      <c r="D400" s="15"/>
      <c r="E400" s="15"/>
      <c r="F400" s="15"/>
      <c r="G400" s="15"/>
      <c r="H400" s="120"/>
      <c r="I400" s="475"/>
      <c r="J400" s="479"/>
      <c r="K400" s="479"/>
      <c r="L400" s="479"/>
    </row>
    <row r="401" spans="1:12" ht="36">
      <c r="A401" s="85" t="s">
        <v>411</v>
      </c>
      <c r="B401" s="22" t="s">
        <v>41</v>
      </c>
      <c r="C401" s="22"/>
      <c r="D401" s="15"/>
      <c r="E401" s="15"/>
      <c r="F401" s="15"/>
      <c r="G401" s="137">
        <v>0.1</v>
      </c>
      <c r="H401" s="120" t="s">
        <v>483</v>
      </c>
      <c r="I401" s="460" t="s">
        <v>497</v>
      </c>
      <c r="J401" s="480"/>
      <c r="K401" s="479"/>
      <c r="L401" s="479"/>
    </row>
    <row r="402" spans="1:12" ht="24">
      <c r="A402" s="85" t="s">
        <v>412</v>
      </c>
      <c r="B402" s="15" t="s">
        <v>42</v>
      </c>
      <c r="C402" s="15"/>
      <c r="D402" s="15"/>
      <c r="E402" s="15"/>
      <c r="F402" s="15"/>
      <c r="G402" s="137"/>
      <c r="H402" s="120" t="s">
        <v>484</v>
      </c>
      <c r="I402" s="481" t="s">
        <v>501</v>
      </c>
      <c r="J402" s="479"/>
      <c r="K402" s="479"/>
      <c r="L402" s="479"/>
    </row>
    <row r="403" spans="1:12" ht="48">
      <c r="A403" s="85" t="s">
        <v>413</v>
      </c>
      <c r="B403" s="15" t="s">
        <v>43</v>
      </c>
      <c r="C403" s="15"/>
      <c r="D403" s="15"/>
      <c r="E403" s="15"/>
      <c r="F403" s="15"/>
      <c r="G403" s="86"/>
      <c r="H403" s="120"/>
      <c r="I403" s="460" t="s">
        <v>149</v>
      </c>
      <c r="J403" s="479"/>
      <c r="K403" s="479"/>
      <c r="L403" s="479"/>
    </row>
    <row r="404" spans="1:12" ht="60">
      <c r="A404" s="85" t="s">
        <v>414</v>
      </c>
      <c r="B404" s="15" t="s">
        <v>44</v>
      </c>
      <c r="C404" s="15"/>
      <c r="D404" s="15"/>
      <c r="E404" s="15"/>
      <c r="F404" s="15"/>
      <c r="G404" s="137">
        <v>0.05</v>
      </c>
      <c r="H404" s="120" t="s">
        <v>485</v>
      </c>
      <c r="I404" s="460" t="s">
        <v>495</v>
      </c>
      <c r="J404" s="479"/>
      <c r="K404" s="479"/>
      <c r="L404" s="479"/>
    </row>
    <row r="405" spans="1:12" ht="36">
      <c r="A405" s="85" t="s">
        <v>415</v>
      </c>
      <c r="B405" s="15" t="s">
        <v>45</v>
      </c>
      <c r="C405" s="15"/>
      <c r="D405" s="15"/>
      <c r="E405" s="15"/>
      <c r="F405" s="15"/>
      <c r="G405" s="137"/>
      <c r="H405" s="120"/>
      <c r="I405" s="460" t="s">
        <v>150</v>
      </c>
      <c r="J405" s="479"/>
      <c r="K405" s="479"/>
      <c r="L405" s="479"/>
    </row>
    <row r="406" spans="1:12" ht="12">
      <c r="A406" s="85" t="s">
        <v>416</v>
      </c>
      <c r="B406" s="15" t="s">
        <v>46</v>
      </c>
      <c r="C406" s="15"/>
      <c r="D406" s="15"/>
      <c r="E406" s="15"/>
      <c r="F406" s="15"/>
      <c r="G406" s="137"/>
      <c r="H406" s="121"/>
      <c r="I406" s="461" t="s">
        <v>498</v>
      </c>
      <c r="J406" s="474"/>
      <c r="K406" s="474"/>
      <c r="L406" s="474"/>
    </row>
    <row r="407" spans="1:12" ht="12">
      <c r="A407" s="85" t="s">
        <v>417</v>
      </c>
      <c r="B407" s="15" t="s">
        <v>47</v>
      </c>
      <c r="C407" s="15"/>
      <c r="D407" s="15"/>
      <c r="E407" s="15"/>
      <c r="F407" s="15"/>
      <c r="G407" s="137">
        <v>0.1</v>
      </c>
      <c r="H407" s="120" t="s">
        <v>486</v>
      </c>
      <c r="I407" s="461">
        <v>0.1</v>
      </c>
      <c r="J407" s="474"/>
      <c r="K407" s="474"/>
      <c r="L407" s="474"/>
    </row>
    <row r="408" spans="1:12" ht="24">
      <c r="A408" s="85" t="s">
        <v>418</v>
      </c>
      <c r="B408" s="15" t="s">
        <v>136</v>
      </c>
      <c r="C408" s="15"/>
      <c r="D408" s="15"/>
      <c r="E408" s="15"/>
      <c r="F408" s="15"/>
      <c r="G408" s="99"/>
      <c r="H408" s="121"/>
      <c r="I408" s="460" t="s">
        <v>496</v>
      </c>
      <c r="J408" s="474"/>
      <c r="K408" s="474"/>
      <c r="L408" s="474"/>
    </row>
    <row r="409" spans="1:12" ht="12.75" thickBot="1">
      <c r="A409" s="93"/>
      <c r="B409" s="80"/>
      <c r="C409" s="80"/>
      <c r="D409" s="80"/>
      <c r="E409" s="80"/>
      <c r="F409" s="80"/>
      <c r="G409" s="342"/>
      <c r="H409" s="121"/>
      <c r="I409" s="475"/>
      <c r="J409" s="474"/>
      <c r="K409" s="474"/>
      <c r="L409" s="474"/>
    </row>
    <row r="410" spans="1:12" ht="12.75" customHeight="1" thickTop="1">
      <c r="A410" s="129"/>
      <c r="B410" s="91" t="s">
        <v>48</v>
      </c>
      <c r="C410" s="82"/>
      <c r="D410" s="82"/>
      <c r="E410" s="82"/>
      <c r="F410" s="82"/>
      <c r="G410" s="346"/>
      <c r="H410" s="482"/>
      <c r="I410" s="490"/>
      <c r="J410" s="491"/>
      <c r="K410" s="491"/>
      <c r="L410" s="491"/>
    </row>
  </sheetData>
  <mergeCells count="6">
    <mergeCell ref="K5:K6"/>
    <mergeCell ref="L5:L6"/>
    <mergeCell ref="C5:D6"/>
    <mergeCell ref="H5:H6"/>
    <mergeCell ref="I5:I6"/>
    <mergeCell ref="J5:J6"/>
  </mergeCells>
  <printOptions/>
  <pageMargins left="0.75" right="0.75" top="1" bottom="1" header="0.5" footer="0.5"/>
  <pageSetup fitToHeight="0" fitToWidth="1" horizontalDpi="300" verticalDpi="300" orientation="portrait" scale="40" r:id="rId1"/>
  <headerFooter alignWithMargins="0">
    <oddFooter>&amp;L&amp;"Braggadocio,Regular"CSP&amp;X2&amp;RPage &amp;P of &amp;N</oddFooter>
  </headerFooter>
  <ignoredErrors>
    <ignoredError sqref="A182:A19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2"/>
  <sheetViews>
    <sheetView zoomScale="75" zoomScaleNormal="75" zoomScaleSheetLayoutView="75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N29" sqref="N29"/>
    </sheetView>
  </sheetViews>
  <sheetFormatPr defaultColWidth="9.140625" defaultRowHeight="12.75"/>
  <cols>
    <col min="1" max="1" width="9.140625" style="1" customWidth="1"/>
    <col min="2" max="2" width="7.57421875" style="1" customWidth="1"/>
    <col min="3" max="5" width="9.140625" style="1" customWidth="1"/>
    <col min="6" max="6" width="14.28125" style="1" customWidth="1"/>
    <col min="7" max="7" width="5.8515625" style="1" customWidth="1"/>
    <col min="8" max="8" width="21.28125" style="1" customWidth="1"/>
    <col min="9" max="9" width="5.28125" style="32" customWidth="1"/>
    <col min="10" max="10" width="16.140625" style="32" customWidth="1"/>
    <col min="11" max="11" width="5.7109375" style="32" customWidth="1"/>
    <col min="12" max="12" width="16.140625" style="32" customWidth="1"/>
    <col min="13" max="13" width="6.28125" style="32" customWidth="1"/>
    <col min="14" max="14" width="16.140625" style="32" customWidth="1"/>
    <col min="15" max="15" width="5.28125" style="32" customWidth="1"/>
    <col min="16" max="16" width="16.140625" style="32" customWidth="1"/>
    <col min="17" max="16384" width="9.140625" style="1" customWidth="1"/>
  </cols>
  <sheetData>
    <row r="1" spans="1:16" ht="12">
      <c r="A1" s="106" t="s">
        <v>138</v>
      </c>
      <c r="B1" s="106"/>
      <c r="C1" s="106"/>
      <c r="D1" s="106"/>
      <c r="E1" s="106"/>
      <c r="F1" s="106"/>
      <c r="G1" s="106"/>
      <c r="H1" s="106"/>
      <c r="I1" s="134"/>
      <c r="J1" s="134"/>
      <c r="K1" s="134"/>
      <c r="L1" s="134"/>
      <c r="M1" s="134"/>
      <c r="N1" s="134"/>
      <c r="O1" s="134"/>
      <c r="P1" s="134"/>
    </row>
    <row r="2" spans="1:15" ht="12">
      <c r="A2" s="7" t="s">
        <v>156</v>
      </c>
      <c r="B2" s="7"/>
      <c r="C2" s="7"/>
      <c r="D2" s="7"/>
      <c r="E2" s="7"/>
      <c r="F2" s="7"/>
      <c r="H2" s="3"/>
      <c r="I2" s="197"/>
      <c r="K2" s="197"/>
      <c r="M2" s="197"/>
      <c r="O2" s="197"/>
    </row>
    <row r="3" spans="8:15" ht="12">
      <c r="H3" s="4"/>
      <c r="I3" s="198"/>
      <c r="K3" s="198"/>
      <c r="M3" s="198"/>
      <c r="O3" s="198"/>
    </row>
    <row r="5" spans="1:16" ht="36" customHeight="1">
      <c r="A5" s="23"/>
      <c r="B5" s="6"/>
      <c r="C5" s="6"/>
      <c r="D5" s="6"/>
      <c r="E5" s="6"/>
      <c r="F5" s="6"/>
      <c r="G5" s="6"/>
      <c r="H5" s="287" t="s">
        <v>420</v>
      </c>
      <c r="I5" s="539" t="s">
        <v>493</v>
      </c>
      <c r="J5" s="540"/>
      <c r="K5" s="541" t="s">
        <v>500</v>
      </c>
      <c r="L5" s="542"/>
      <c r="M5" s="539" t="s">
        <v>513</v>
      </c>
      <c r="N5" s="543"/>
      <c r="O5" s="541" t="s">
        <v>514</v>
      </c>
      <c r="P5" s="542"/>
    </row>
    <row r="6" spans="1:18" ht="12.75" customHeight="1">
      <c r="A6" s="8" t="s">
        <v>1</v>
      </c>
      <c r="B6" s="9"/>
      <c r="C6" s="538" t="s">
        <v>0</v>
      </c>
      <c r="D6" s="538"/>
      <c r="E6" s="9"/>
      <c r="F6" s="9"/>
      <c r="G6" s="9"/>
      <c r="H6" s="288" t="s">
        <v>5</v>
      </c>
      <c r="I6" s="539" t="s">
        <v>5</v>
      </c>
      <c r="J6" s="540"/>
      <c r="K6" s="541" t="s">
        <v>5</v>
      </c>
      <c r="L6" s="542"/>
      <c r="M6" s="539" t="s">
        <v>5</v>
      </c>
      <c r="N6" s="543"/>
      <c r="O6" s="541" t="s">
        <v>5</v>
      </c>
      <c r="P6" s="542"/>
      <c r="Q6" s="122"/>
      <c r="R6" s="36"/>
    </row>
    <row r="7" spans="1:18" ht="12" customHeight="1">
      <c r="A7" s="10"/>
      <c r="H7" s="67"/>
      <c r="I7" s="457"/>
      <c r="J7" s="111"/>
      <c r="K7" s="399"/>
      <c r="L7" s="111"/>
      <c r="M7" s="464"/>
      <c r="N7" s="140"/>
      <c r="O7" s="464"/>
      <c r="P7" s="465"/>
      <c r="Q7" s="122"/>
      <c r="R7" s="36"/>
    </row>
    <row r="8" spans="1:18" ht="12" customHeight="1">
      <c r="A8" s="20">
        <v>1</v>
      </c>
      <c r="B8" s="9" t="s">
        <v>64</v>
      </c>
      <c r="C8" s="9"/>
      <c r="D8" s="9"/>
      <c r="E8" s="9"/>
      <c r="F8" s="9"/>
      <c r="G8" s="9"/>
      <c r="H8" s="289">
        <v>0</v>
      </c>
      <c r="I8" s="286"/>
      <c r="J8" s="286">
        <v>0</v>
      </c>
      <c r="K8" s="400"/>
      <c r="L8" s="286">
        <v>0</v>
      </c>
      <c r="M8" s="466"/>
      <c r="N8" s="286">
        <v>0</v>
      </c>
      <c r="O8" s="466"/>
      <c r="P8" s="467">
        <v>0</v>
      </c>
      <c r="Q8" s="122"/>
      <c r="R8" s="36"/>
    </row>
    <row r="9" spans="1:18" ht="12">
      <c r="A9" s="10"/>
      <c r="H9" s="67"/>
      <c r="I9" s="111"/>
      <c r="J9" s="111"/>
      <c r="K9" s="257"/>
      <c r="L9" s="111"/>
      <c r="M9" s="257"/>
      <c r="N9" s="111"/>
      <c r="O9" s="257"/>
      <c r="P9" s="468"/>
      <c r="Q9" s="122"/>
      <c r="R9" s="36"/>
    </row>
    <row r="10" spans="1:18" ht="12">
      <c r="A10" s="11">
        <v>2</v>
      </c>
      <c r="B10" s="7" t="s">
        <v>65</v>
      </c>
      <c r="C10" s="7"/>
      <c r="D10" s="7"/>
      <c r="H10" s="67"/>
      <c r="I10" s="111"/>
      <c r="J10" s="111"/>
      <c r="K10" s="257"/>
      <c r="L10" s="207">
        <f>270000*7</f>
        <v>1890000</v>
      </c>
      <c r="M10" s="257"/>
      <c r="N10" s="105">
        <f>270000*50</f>
        <v>13500000</v>
      </c>
      <c r="O10" s="257"/>
      <c r="P10" s="434">
        <f>270000*100</f>
        <v>27000000</v>
      </c>
      <c r="Q10" s="122"/>
      <c r="R10" s="36"/>
    </row>
    <row r="11" spans="1:18" ht="12">
      <c r="A11" s="11" t="s">
        <v>21</v>
      </c>
      <c r="B11" s="1" t="s">
        <v>66</v>
      </c>
      <c r="H11" s="65"/>
      <c r="I11" s="207"/>
      <c r="J11" s="105"/>
      <c r="K11" s="458"/>
      <c r="L11" s="207"/>
      <c r="M11" s="458"/>
      <c r="N11" s="207"/>
      <c r="O11" s="458"/>
      <c r="P11" s="202"/>
      <c r="Q11" s="122"/>
      <c r="R11" s="36"/>
    </row>
    <row r="12" spans="1:18" ht="12">
      <c r="A12" s="11" t="s">
        <v>22</v>
      </c>
      <c r="B12" s="1" t="s">
        <v>67</v>
      </c>
      <c r="H12" s="65"/>
      <c r="I12" s="207"/>
      <c r="J12" s="105"/>
      <c r="K12" s="458"/>
      <c r="L12" s="207"/>
      <c r="M12" s="458"/>
      <c r="N12" s="207"/>
      <c r="O12" s="458"/>
      <c r="P12" s="202"/>
      <c r="Q12" s="122"/>
      <c r="R12" s="36"/>
    </row>
    <row r="13" spans="1:18" ht="12">
      <c r="A13" s="11" t="s">
        <v>23</v>
      </c>
      <c r="B13" s="1" t="s">
        <v>68</v>
      </c>
      <c r="H13" s="65"/>
      <c r="I13" s="207"/>
      <c r="J13" s="105"/>
      <c r="K13" s="458"/>
      <c r="L13" s="207"/>
      <c r="M13" s="458"/>
      <c r="N13" s="207"/>
      <c r="O13" s="458"/>
      <c r="P13" s="202"/>
      <c r="Q13" s="122"/>
      <c r="R13" s="36"/>
    </row>
    <row r="14" spans="1:18" ht="12">
      <c r="A14" s="11" t="s">
        <v>24</v>
      </c>
      <c r="B14" s="1" t="s">
        <v>69</v>
      </c>
      <c r="H14" s="65"/>
      <c r="I14" s="207"/>
      <c r="J14" s="105"/>
      <c r="K14" s="458"/>
      <c r="L14" s="207"/>
      <c r="M14" s="458"/>
      <c r="N14" s="207"/>
      <c r="O14" s="458"/>
      <c r="P14" s="202"/>
      <c r="Q14" s="122"/>
      <c r="R14" s="36"/>
    </row>
    <row r="15" spans="1:18" ht="12.75" thickBot="1">
      <c r="A15" s="18" t="s">
        <v>25</v>
      </c>
      <c r="B15" s="19" t="s">
        <v>70</v>
      </c>
      <c r="C15" s="19"/>
      <c r="D15" s="19"/>
      <c r="E15" s="19"/>
      <c r="F15" s="19"/>
      <c r="G15" s="19"/>
      <c r="H15" s="290"/>
      <c r="I15" s="207"/>
      <c r="J15" s="432"/>
      <c r="K15" s="458"/>
      <c r="L15" s="284"/>
      <c r="M15" s="458"/>
      <c r="N15" s="284"/>
      <c r="O15" s="458"/>
      <c r="P15" s="469"/>
      <c r="Q15" s="122"/>
      <c r="R15" s="36"/>
    </row>
    <row r="16" spans="1:18" ht="12.75" thickTop="1">
      <c r="A16" s="20"/>
      <c r="B16" s="14" t="s">
        <v>71</v>
      </c>
      <c r="C16" s="14"/>
      <c r="D16" s="14"/>
      <c r="E16" s="14"/>
      <c r="F16" s="16"/>
      <c r="G16" s="16"/>
      <c r="H16" s="289">
        <f>SUM(H11:H15)</f>
        <v>0</v>
      </c>
      <c r="I16" s="285"/>
      <c r="J16" s="286">
        <f>SUM(J11:J15)</f>
        <v>0</v>
      </c>
      <c r="K16" s="470"/>
      <c r="L16" s="286">
        <f>SUM(L10:L15)</f>
        <v>1890000</v>
      </c>
      <c r="M16" s="470"/>
      <c r="N16" s="467">
        <f>SUM(N10:N15)</f>
        <v>13500000</v>
      </c>
      <c r="O16" s="470"/>
      <c r="P16" s="467">
        <f>SUM(P10:P15)</f>
        <v>27000000</v>
      </c>
      <c r="Q16" s="122"/>
      <c r="R16" s="36"/>
    </row>
    <row r="17" spans="1:18" ht="12">
      <c r="A17" s="11"/>
      <c r="H17" s="65"/>
      <c r="I17" s="207"/>
      <c r="J17" s="207"/>
      <c r="K17" s="458"/>
      <c r="L17" s="207"/>
      <c r="M17" s="458"/>
      <c r="N17" s="207"/>
      <c r="O17" s="458"/>
      <c r="P17" s="202"/>
      <c r="Q17" s="122"/>
      <c r="R17" s="36"/>
    </row>
    <row r="18" spans="1:18" ht="12">
      <c r="A18" s="11">
        <v>3</v>
      </c>
      <c r="B18" s="7" t="s">
        <v>72</v>
      </c>
      <c r="C18" s="7"/>
      <c r="D18" s="7"/>
      <c r="E18" s="7"/>
      <c r="F18" s="7"/>
      <c r="H18" s="65"/>
      <c r="I18" s="207"/>
      <c r="J18" s="207"/>
      <c r="K18" s="458"/>
      <c r="L18" s="207"/>
      <c r="M18" s="458"/>
      <c r="N18" s="207"/>
      <c r="O18" s="458"/>
      <c r="P18" s="202"/>
      <c r="Q18" s="122"/>
      <c r="R18" s="36"/>
    </row>
    <row r="19" spans="1:18" ht="12">
      <c r="A19" s="11" t="s">
        <v>27</v>
      </c>
      <c r="B19" s="1" t="s">
        <v>66</v>
      </c>
      <c r="H19" s="65"/>
      <c r="I19" s="207"/>
      <c r="J19" s="207"/>
      <c r="K19" s="458"/>
      <c r="L19" s="207"/>
      <c r="M19" s="458"/>
      <c r="N19" s="207"/>
      <c r="O19" s="458"/>
      <c r="P19" s="202"/>
      <c r="Q19" s="122"/>
      <c r="R19" s="36"/>
    </row>
    <row r="20" spans="1:18" ht="12">
      <c r="A20" s="11" t="s">
        <v>28</v>
      </c>
      <c r="B20" s="1" t="s">
        <v>68</v>
      </c>
      <c r="H20" s="65"/>
      <c r="I20" s="207"/>
      <c r="J20" s="207"/>
      <c r="K20" s="458"/>
      <c r="L20" s="207"/>
      <c r="M20" s="458"/>
      <c r="N20" s="207"/>
      <c r="O20" s="458"/>
      <c r="P20" s="202"/>
      <c r="Q20" s="122"/>
      <c r="R20" s="36"/>
    </row>
    <row r="21" spans="1:18" ht="12">
      <c r="A21" s="11" t="s">
        <v>29</v>
      </c>
      <c r="B21" s="1" t="s">
        <v>70</v>
      </c>
      <c r="H21" s="65"/>
      <c r="I21" s="207"/>
      <c r="J21" s="207"/>
      <c r="K21" s="458"/>
      <c r="L21" s="207"/>
      <c r="M21" s="458"/>
      <c r="N21" s="207"/>
      <c r="O21" s="458"/>
      <c r="P21" s="202"/>
      <c r="Q21" s="122"/>
      <c r="R21" s="36"/>
    </row>
    <row r="22" spans="1:18" ht="12">
      <c r="A22" s="11" t="s">
        <v>73</v>
      </c>
      <c r="B22" s="1" t="s">
        <v>74</v>
      </c>
      <c r="H22" s="65"/>
      <c r="I22" s="207"/>
      <c r="J22" s="207"/>
      <c r="K22" s="458"/>
      <c r="L22" s="207"/>
      <c r="M22" s="458"/>
      <c r="N22" s="207"/>
      <c r="O22" s="458"/>
      <c r="P22" s="202"/>
      <c r="Q22" s="122"/>
      <c r="R22" s="36"/>
    </row>
    <row r="23" spans="1:18" ht="12">
      <c r="A23" s="11" t="s">
        <v>75</v>
      </c>
      <c r="B23" s="1" t="s">
        <v>76</v>
      </c>
      <c r="H23" s="65"/>
      <c r="I23" s="207"/>
      <c r="J23" s="105"/>
      <c r="K23" s="458"/>
      <c r="L23" s="105"/>
      <c r="M23" s="458"/>
      <c r="N23" s="105"/>
      <c r="O23" s="458"/>
      <c r="P23" s="434"/>
      <c r="Q23" s="122"/>
      <c r="R23" s="36"/>
    </row>
    <row r="24" spans="1:18" ht="12.75" thickBot="1">
      <c r="A24" s="11" t="s">
        <v>51</v>
      </c>
      <c r="B24" s="1" t="s">
        <v>77</v>
      </c>
      <c r="H24" s="65"/>
      <c r="I24" s="207"/>
      <c r="J24" s="207"/>
      <c r="K24" s="458"/>
      <c r="L24" s="207"/>
      <c r="M24" s="458"/>
      <c r="N24" s="207"/>
      <c r="O24" s="458"/>
      <c r="P24" s="202"/>
      <c r="Q24" s="122"/>
      <c r="R24" s="36"/>
    </row>
    <row r="25" spans="1:18" ht="12.75" thickTop="1">
      <c r="A25" s="13"/>
      <c r="B25" s="14" t="s">
        <v>78</v>
      </c>
      <c r="C25" s="14"/>
      <c r="D25" s="14"/>
      <c r="E25" s="14"/>
      <c r="F25" s="14"/>
      <c r="G25" s="14"/>
      <c r="H25" s="291">
        <f>SUM(H19:H23)</f>
        <v>0</v>
      </c>
      <c r="I25" s="285"/>
      <c r="J25" s="285">
        <f>SUM(J19:J23)</f>
        <v>0</v>
      </c>
      <c r="K25" s="470"/>
      <c r="L25" s="285">
        <f>SUM(L19:L23)</f>
        <v>0</v>
      </c>
      <c r="M25" s="470"/>
      <c r="N25" s="285">
        <f>SUM(N19:N23)</f>
        <v>0</v>
      </c>
      <c r="O25" s="470"/>
      <c r="P25" s="499">
        <f>SUM(P19:P23)</f>
        <v>0</v>
      </c>
      <c r="Q25" s="122"/>
      <c r="R25" s="36"/>
    </row>
    <row r="26" spans="1:18" ht="12">
      <c r="A26" s="11"/>
      <c r="H26" s="65"/>
      <c r="I26" s="207"/>
      <c r="J26" s="207"/>
      <c r="K26" s="403"/>
      <c r="L26" s="378"/>
      <c r="M26" s="403"/>
      <c r="N26" s="378"/>
      <c r="O26" s="403"/>
      <c r="P26" s="404"/>
      <c r="Q26" s="122"/>
      <c r="R26" s="36"/>
    </row>
    <row r="27" spans="1:18" ht="12">
      <c r="A27" s="11">
        <v>4</v>
      </c>
      <c r="B27" s="7" t="s">
        <v>79</v>
      </c>
      <c r="C27" s="7"/>
      <c r="D27" s="7"/>
      <c r="E27" s="7"/>
      <c r="F27" s="7"/>
      <c r="G27" s="7"/>
      <c r="H27" s="65"/>
      <c r="I27" s="207"/>
      <c r="J27" s="207"/>
      <c r="K27" s="403"/>
      <c r="L27" s="378"/>
      <c r="M27" s="403"/>
      <c r="N27" s="378"/>
      <c r="O27" s="403"/>
      <c r="P27" s="404"/>
      <c r="Q27" s="122"/>
      <c r="R27" s="36"/>
    </row>
    <row r="28" spans="1:18" ht="12">
      <c r="A28" s="11" t="s">
        <v>52</v>
      </c>
      <c r="B28" s="1" t="s">
        <v>80</v>
      </c>
      <c r="H28" s="65">
        <v>300000</v>
      </c>
      <c r="I28" s="207"/>
      <c r="J28" s="105">
        <v>300000</v>
      </c>
      <c r="K28" s="403"/>
      <c r="L28" s="207">
        <f>20000*22</f>
        <v>440000</v>
      </c>
      <c r="M28" s="403"/>
      <c r="N28" s="207">
        <f>20000*65</f>
        <v>1300000</v>
      </c>
      <c r="O28" s="403"/>
      <c r="P28" s="207">
        <f>20000*115</f>
        <v>2300000</v>
      </c>
      <c r="Q28" s="122"/>
      <c r="R28" s="36"/>
    </row>
    <row r="29" spans="1:18" ht="12">
      <c r="A29" s="11" t="s">
        <v>53</v>
      </c>
      <c r="B29" s="1" t="s">
        <v>81</v>
      </c>
      <c r="H29" s="65">
        <f>200000+44500</f>
        <v>244500</v>
      </c>
      <c r="I29" s="207"/>
      <c r="J29" s="105">
        <f>200000+44500</f>
        <v>244500</v>
      </c>
      <c r="K29" s="403"/>
      <c r="L29" s="207">
        <f>(44500)+(100000*5)+(100000*3)</f>
        <v>844500</v>
      </c>
      <c r="M29" s="403"/>
      <c r="N29" s="207">
        <f>(44500)+(100000*5)+(100000*12)</f>
        <v>1744500</v>
      </c>
      <c r="O29" s="403"/>
      <c r="P29" s="207">
        <f>(44500)+(100000*5)+(100000*22)</f>
        <v>2744500</v>
      </c>
      <c r="Q29" s="122"/>
      <c r="R29" s="36"/>
    </row>
    <row r="30" spans="1:18" ht="12">
      <c r="A30" s="11" t="s">
        <v>54</v>
      </c>
      <c r="B30" s="1" t="s">
        <v>82</v>
      </c>
      <c r="H30" s="65"/>
      <c r="I30" s="207"/>
      <c r="J30" s="105"/>
      <c r="K30" s="403"/>
      <c r="L30" s="207">
        <f>(10000*5)+(10000*3)</f>
        <v>80000</v>
      </c>
      <c r="M30" s="403"/>
      <c r="N30" s="207">
        <f>(10000*5)+(10000*12)</f>
        <v>170000</v>
      </c>
      <c r="O30" s="403"/>
      <c r="P30" s="207">
        <f>(10000*5)+(10000*22)</f>
        <v>270000</v>
      </c>
      <c r="Q30" s="122"/>
      <c r="R30" s="36"/>
    </row>
    <row r="31" spans="1:18" ht="12">
      <c r="A31" s="11" t="s">
        <v>83</v>
      </c>
      <c r="C31" s="1" t="s">
        <v>2</v>
      </c>
      <c r="H31" s="65"/>
      <c r="I31" s="207"/>
      <c r="J31" s="105"/>
      <c r="K31" s="403"/>
      <c r="L31" s="378"/>
      <c r="M31" s="403"/>
      <c r="N31" s="378"/>
      <c r="O31" s="403"/>
      <c r="P31" s="404"/>
      <c r="Q31" s="122"/>
      <c r="R31" s="36"/>
    </row>
    <row r="32" spans="1:18" ht="12">
      <c r="A32" s="11" t="s">
        <v>84</v>
      </c>
      <c r="C32" s="1" t="s">
        <v>3</v>
      </c>
      <c r="H32" s="65"/>
      <c r="I32" s="207"/>
      <c r="J32" s="105"/>
      <c r="K32" s="458"/>
      <c r="L32" s="105"/>
      <c r="M32" s="403"/>
      <c r="N32" s="401"/>
      <c r="O32" s="403"/>
      <c r="P32" s="402"/>
      <c r="Q32" s="122"/>
      <c r="R32" s="36"/>
    </row>
    <row r="33" spans="1:18" ht="12.75" thickBot="1">
      <c r="A33" s="18" t="s">
        <v>85</v>
      </c>
      <c r="B33" s="19"/>
      <c r="C33" s="19" t="s">
        <v>86</v>
      </c>
      <c r="D33" s="19"/>
      <c r="E33" s="19"/>
      <c r="F33" s="19"/>
      <c r="G33" s="19"/>
      <c r="H33" s="290"/>
      <c r="I33" s="284"/>
      <c r="J33" s="432"/>
      <c r="K33" s="509"/>
      <c r="L33" s="432"/>
      <c r="M33" s="509"/>
      <c r="N33" s="432"/>
      <c r="O33" s="509"/>
      <c r="P33" s="518"/>
      <c r="Q33" s="122"/>
      <c r="R33" s="36"/>
    </row>
    <row r="34" spans="1:18" ht="13.5" thickBot="1" thickTop="1">
      <c r="A34" s="20"/>
      <c r="B34" s="14" t="s">
        <v>87</v>
      </c>
      <c r="C34" s="14"/>
      <c r="D34" s="14"/>
      <c r="E34" s="14"/>
      <c r="F34" s="14"/>
      <c r="G34" s="14"/>
      <c r="H34" s="292">
        <f>SUM(H28:H33)</f>
        <v>544500</v>
      </c>
      <c r="I34" s="284"/>
      <c r="J34" s="286">
        <f>SUM(J28:J33)</f>
        <v>544500</v>
      </c>
      <c r="K34" s="509"/>
      <c r="L34" s="286">
        <f>SUM(L28:L33)</f>
        <v>1364500</v>
      </c>
      <c r="M34" s="509"/>
      <c r="N34" s="519">
        <f>SUM(N28:N33)</f>
        <v>3214500</v>
      </c>
      <c r="O34" s="509"/>
      <c r="P34" s="467">
        <f>SUM(P28:P33)</f>
        <v>5314500</v>
      </c>
      <c r="Q34" s="122"/>
      <c r="R34" s="36"/>
    </row>
    <row r="35" spans="1:16" ht="12.75" thickTop="1">
      <c r="A35" s="13"/>
      <c r="B35" s="14" t="s">
        <v>127</v>
      </c>
      <c r="C35" s="14"/>
      <c r="D35" s="14"/>
      <c r="E35" s="14"/>
      <c r="F35" s="14"/>
      <c r="G35" s="14"/>
      <c r="H35" s="293">
        <f>H8+H16+H25+H34</f>
        <v>544500</v>
      </c>
      <c r="I35" s="285"/>
      <c r="J35" s="285">
        <f>J8+J16+J25+J34</f>
        <v>544500</v>
      </c>
      <c r="K35" s="470"/>
      <c r="L35" s="285">
        <f>L8+L16+L25+L34</f>
        <v>3254500</v>
      </c>
      <c r="M35" s="470"/>
      <c r="N35" s="520">
        <f>N8+N16+N25+N34</f>
        <v>16714500</v>
      </c>
      <c r="O35" s="470"/>
      <c r="P35" s="499">
        <f>P8+P16+P25+P34</f>
        <v>32314500</v>
      </c>
    </row>
    <row r="36" spans="1:16" ht="12">
      <c r="A36" s="11"/>
      <c r="H36" s="66"/>
      <c r="I36" s="207"/>
      <c r="J36" s="207"/>
      <c r="K36" s="458"/>
      <c r="L36" s="207"/>
      <c r="M36" s="458"/>
      <c r="N36" s="514"/>
      <c r="O36" s="458"/>
      <c r="P36" s="202"/>
    </row>
    <row r="37" spans="1:26" ht="12">
      <c r="A37" s="11">
        <v>5</v>
      </c>
      <c r="B37" s="21" t="s">
        <v>40</v>
      </c>
      <c r="C37" s="41"/>
      <c r="D37" s="36"/>
      <c r="E37" s="36"/>
      <c r="F37" s="36"/>
      <c r="G37" s="36"/>
      <c r="H37" s="294"/>
      <c r="I37" s="43"/>
      <c r="J37" s="43"/>
      <c r="K37" s="258"/>
      <c r="L37" s="43"/>
      <c r="M37" s="258"/>
      <c r="N37" s="521"/>
      <c r="O37" s="43"/>
      <c r="P37" s="521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2">
      <c r="A38" s="11" t="s">
        <v>55</v>
      </c>
      <c r="B38" s="58" t="s">
        <v>116</v>
      </c>
      <c r="C38" s="42"/>
      <c r="D38" s="36"/>
      <c r="E38" s="36"/>
      <c r="F38" s="36"/>
      <c r="G38" s="137">
        <v>0.1</v>
      </c>
      <c r="H38" s="65">
        <f>$H$35*G38</f>
        <v>54450</v>
      </c>
      <c r="I38" s="433">
        <v>0.1</v>
      </c>
      <c r="J38" s="434">
        <f aca="true" t="shared" si="0" ref="J38:J44">$J$35*I38</f>
        <v>54450</v>
      </c>
      <c r="K38" s="433">
        <v>0.1</v>
      </c>
      <c r="L38" s="105">
        <f>$L$35*K38</f>
        <v>325450</v>
      </c>
      <c r="M38" s="522">
        <v>0.05</v>
      </c>
      <c r="N38" s="434">
        <f>$N$35*M38</f>
        <v>835725</v>
      </c>
      <c r="O38" s="522">
        <v>0.05</v>
      </c>
      <c r="P38" s="434">
        <f>$P$35*O38</f>
        <v>1615725</v>
      </c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12">
      <c r="A39" s="11" t="s">
        <v>56</v>
      </c>
      <c r="B39" s="32" t="s">
        <v>42</v>
      </c>
      <c r="C39" s="36"/>
      <c r="D39" s="36"/>
      <c r="E39" s="36"/>
      <c r="F39" s="36"/>
      <c r="G39" s="137"/>
      <c r="H39" s="65"/>
      <c r="I39" s="433">
        <v>0.1</v>
      </c>
      <c r="J39" s="434">
        <f t="shared" si="0"/>
        <v>54450</v>
      </c>
      <c r="K39" s="433">
        <v>0.1</v>
      </c>
      <c r="L39" s="105">
        <f aca="true" t="shared" si="1" ref="L39:L45">$L$35*K39</f>
        <v>325450</v>
      </c>
      <c r="M39" s="523">
        <v>0.05</v>
      </c>
      <c r="N39" s="434">
        <f aca="true" t="shared" si="2" ref="N39:N45">$N$35*M39</f>
        <v>835725</v>
      </c>
      <c r="O39" s="523">
        <v>0.05</v>
      </c>
      <c r="P39" s="434">
        <f aca="true" t="shared" si="3" ref="P39:P45">$P$35*O39</f>
        <v>1615725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2">
      <c r="A40" s="11" t="s">
        <v>57</v>
      </c>
      <c r="B40" s="32" t="s">
        <v>43</v>
      </c>
      <c r="C40" s="36"/>
      <c r="D40" s="36"/>
      <c r="E40" s="36"/>
      <c r="F40" s="36"/>
      <c r="G40" s="86"/>
      <c r="H40" s="65"/>
      <c r="I40" s="433">
        <v>0.03</v>
      </c>
      <c r="J40" s="434">
        <f t="shared" si="0"/>
        <v>16335</v>
      </c>
      <c r="K40" s="433">
        <v>0.03</v>
      </c>
      <c r="L40" s="105">
        <f t="shared" si="1"/>
        <v>97635</v>
      </c>
      <c r="M40" s="523">
        <v>0.03</v>
      </c>
      <c r="N40" s="434">
        <f t="shared" si="2"/>
        <v>501435</v>
      </c>
      <c r="O40" s="523">
        <v>0.03</v>
      </c>
      <c r="P40" s="434">
        <f t="shared" si="3"/>
        <v>969435</v>
      </c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2">
      <c r="A41" s="11" t="s">
        <v>58</v>
      </c>
      <c r="B41" s="32" t="s">
        <v>44</v>
      </c>
      <c r="C41" s="36"/>
      <c r="D41" s="36"/>
      <c r="E41" s="36"/>
      <c r="F41" s="36"/>
      <c r="G41" s="137">
        <v>0.05</v>
      </c>
      <c r="H41" s="65">
        <f>$H$35*G41</f>
        <v>27225</v>
      </c>
      <c r="I41" s="433">
        <v>0.05</v>
      </c>
      <c r="J41" s="434">
        <f t="shared" si="0"/>
        <v>27225</v>
      </c>
      <c r="K41" s="433">
        <v>0.05</v>
      </c>
      <c r="L41" s="105">
        <f t="shared" si="1"/>
        <v>162725</v>
      </c>
      <c r="M41" s="523">
        <v>0.05</v>
      </c>
      <c r="N41" s="434">
        <f t="shared" si="2"/>
        <v>835725</v>
      </c>
      <c r="O41" s="523">
        <v>0.05</v>
      </c>
      <c r="P41" s="434">
        <f t="shared" si="3"/>
        <v>1615725</v>
      </c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2">
      <c r="A42" s="11" t="s">
        <v>108</v>
      </c>
      <c r="B42" s="32" t="s">
        <v>45</v>
      </c>
      <c r="C42" s="36"/>
      <c r="D42" s="36"/>
      <c r="E42" s="36"/>
      <c r="F42" s="36"/>
      <c r="G42" s="137"/>
      <c r="H42" s="65"/>
      <c r="I42" s="433">
        <v>0.15</v>
      </c>
      <c r="J42" s="434">
        <f t="shared" si="0"/>
        <v>81675</v>
      </c>
      <c r="K42" s="433">
        <v>0.15</v>
      </c>
      <c r="L42" s="105">
        <f t="shared" si="1"/>
        <v>488175</v>
      </c>
      <c r="M42" s="523">
        <v>0.15</v>
      </c>
      <c r="N42" s="434">
        <f t="shared" si="2"/>
        <v>2507175</v>
      </c>
      <c r="O42" s="523">
        <v>0.15</v>
      </c>
      <c r="P42" s="434">
        <f t="shared" si="3"/>
        <v>4847175</v>
      </c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2">
      <c r="A43" s="11" t="s">
        <v>109</v>
      </c>
      <c r="B43" s="32" t="s">
        <v>46</v>
      </c>
      <c r="C43" s="36"/>
      <c r="D43" s="36"/>
      <c r="E43" s="36"/>
      <c r="F43" s="36"/>
      <c r="G43" s="137"/>
      <c r="H43" s="65"/>
      <c r="I43" s="433">
        <v>0.1</v>
      </c>
      <c r="J43" s="434">
        <f t="shared" si="0"/>
        <v>54450</v>
      </c>
      <c r="K43" s="433">
        <v>0.1</v>
      </c>
      <c r="L43" s="434">
        <f t="shared" si="1"/>
        <v>325450</v>
      </c>
      <c r="M43" s="522">
        <v>0.1</v>
      </c>
      <c r="N43" s="434">
        <f t="shared" si="2"/>
        <v>1671450</v>
      </c>
      <c r="O43" s="522">
        <v>0.1</v>
      </c>
      <c r="P43" s="434">
        <f t="shared" si="3"/>
        <v>3231450</v>
      </c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2">
      <c r="A44" s="11" t="s">
        <v>110</v>
      </c>
      <c r="B44" s="32" t="s">
        <v>117</v>
      </c>
      <c r="C44" s="36"/>
      <c r="D44" s="36"/>
      <c r="E44" s="36"/>
      <c r="F44" s="36"/>
      <c r="G44" s="137">
        <v>0.1</v>
      </c>
      <c r="H44" s="65">
        <f>$H$35*G44</f>
        <v>54450</v>
      </c>
      <c r="I44" s="433">
        <v>0.1</v>
      </c>
      <c r="J44" s="434">
        <f t="shared" si="0"/>
        <v>54450</v>
      </c>
      <c r="K44" s="433">
        <v>0.1</v>
      </c>
      <c r="L44" s="434">
        <f t="shared" si="1"/>
        <v>325450</v>
      </c>
      <c r="M44" s="523">
        <v>0.08</v>
      </c>
      <c r="N44" s="434">
        <f t="shared" si="2"/>
        <v>1337160</v>
      </c>
      <c r="O44" s="523">
        <v>0.08</v>
      </c>
      <c r="P44" s="434">
        <f t="shared" si="3"/>
        <v>2585160</v>
      </c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2">
      <c r="A45" s="11" t="s">
        <v>111</v>
      </c>
      <c r="B45" s="32" t="s">
        <v>136</v>
      </c>
      <c r="C45" s="36"/>
      <c r="D45" s="36"/>
      <c r="E45" s="36"/>
      <c r="F45" s="36"/>
      <c r="G45" s="57"/>
      <c r="H45" s="65"/>
      <c r="I45" s="433">
        <v>0.03</v>
      </c>
      <c r="J45" s="434">
        <f>$J$35*I45</f>
        <v>16335</v>
      </c>
      <c r="K45" s="433">
        <v>0.03</v>
      </c>
      <c r="L45" s="434">
        <f t="shared" si="1"/>
        <v>97635</v>
      </c>
      <c r="M45" s="523">
        <v>0.03</v>
      </c>
      <c r="N45" s="434">
        <f t="shared" si="2"/>
        <v>501435</v>
      </c>
      <c r="O45" s="523">
        <v>0.03</v>
      </c>
      <c r="P45" s="434">
        <f t="shared" si="3"/>
        <v>969435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2.75" thickBot="1">
      <c r="A46" s="11"/>
      <c r="B46" s="36"/>
      <c r="C46" s="36"/>
      <c r="D46" s="36"/>
      <c r="E46" s="36"/>
      <c r="F46" s="36"/>
      <c r="G46" s="36"/>
      <c r="H46" s="65"/>
      <c r="I46" s="43"/>
      <c r="J46" s="43"/>
      <c r="K46" s="510"/>
      <c r="L46" s="202"/>
      <c r="M46" s="43"/>
      <c r="N46" s="202"/>
      <c r="O46" s="43"/>
      <c r="P46" s="202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2.75" thickTop="1">
      <c r="A47" s="114"/>
      <c r="B47" s="14" t="s">
        <v>48</v>
      </c>
      <c r="C47" s="14"/>
      <c r="D47" s="14"/>
      <c r="E47" s="14"/>
      <c r="F47" s="14"/>
      <c r="G47" s="70">
        <f>H47/H35</f>
        <v>0.25</v>
      </c>
      <c r="H47" s="295">
        <f>SUM(H37:H46)</f>
        <v>136125</v>
      </c>
      <c r="I47" s="435">
        <f>J47/J35</f>
        <v>0.66</v>
      </c>
      <c r="J47" s="92">
        <f>SUM(J37:J46)</f>
        <v>359370</v>
      </c>
      <c r="K47" s="511">
        <f>L47/L35</f>
        <v>0.66</v>
      </c>
      <c r="L47" s="512">
        <f>SUM(L38:L46)</f>
        <v>2147970</v>
      </c>
      <c r="M47" s="524">
        <f>N47/N35</f>
        <v>0.54</v>
      </c>
      <c r="N47" s="512">
        <f>SUM(N38:N46)</f>
        <v>9025830</v>
      </c>
      <c r="O47" s="524">
        <f>P47/P35</f>
        <v>0.54</v>
      </c>
      <c r="P47" s="512">
        <f>SUM(P38:P46)</f>
        <v>17449830</v>
      </c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16" ht="12">
      <c r="A48" s="20"/>
      <c r="B48" s="16"/>
      <c r="C48" s="16"/>
      <c r="D48" s="16"/>
      <c r="E48" s="16"/>
      <c r="F48" s="16"/>
      <c r="G48" s="16"/>
      <c r="H48" s="292"/>
      <c r="I48" s="286"/>
      <c r="J48" s="286"/>
      <c r="K48" s="466"/>
      <c r="L48" s="467"/>
      <c r="M48" s="286"/>
      <c r="N48" s="519"/>
      <c r="O48" s="466"/>
      <c r="P48" s="467"/>
    </row>
    <row r="49" spans="1:16" ht="12">
      <c r="A49" s="11">
        <v>6</v>
      </c>
      <c r="B49" s="7" t="s">
        <v>88</v>
      </c>
      <c r="C49" s="7"/>
      <c r="D49" s="7"/>
      <c r="E49" s="7"/>
      <c r="F49" s="7"/>
      <c r="G49" s="7"/>
      <c r="H49" s="67"/>
      <c r="I49" s="111"/>
      <c r="J49" s="111"/>
      <c r="K49" s="257"/>
      <c r="L49" s="468"/>
      <c r="M49" s="111"/>
      <c r="N49" s="140"/>
      <c r="O49" s="257"/>
      <c r="P49" s="468"/>
    </row>
    <row r="50" spans="1:16" ht="12">
      <c r="A50" s="11"/>
      <c r="B50" s="1" t="s">
        <v>89</v>
      </c>
      <c r="H50" s="65"/>
      <c r="I50" s="207"/>
      <c r="J50" s="207"/>
      <c r="K50" s="458"/>
      <c r="L50" s="202"/>
      <c r="M50" s="207"/>
      <c r="N50" s="202">
        <f>2661000*0.25</f>
        <v>665250</v>
      </c>
      <c r="O50" s="458"/>
      <c r="P50" s="202">
        <f>2661000*0.25</f>
        <v>665250</v>
      </c>
    </row>
    <row r="51" spans="1:16" ht="12">
      <c r="A51" s="11"/>
      <c r="B51" s="1" t="s">
        <v>90</v>
      </c>
      <c r="H51" s="65"/>
      <c r="I51" s="207"/>
      <c r="J51" s="207"/>
      <c r="K51" s="458"/>
      <c r="L51" s="202"/>
      <c r="M51" s="207"/>
      <c r="N51" s="202">
        <f>2661000*0.25</f>
        <v>665250</v>
      </c>
      <c r="O51" s="458"/>
      <c r="P51" s="202">
        <f>2661000*0.25</f>
        <v>665250</v>
      </c>
    </row>
    <row r="52" spans="1:16" ht="12">
      <c r="A52" s="11"/>
      <c r="B52" s="1" t="s">
        <v>91</v>
      </c>
      <c r="H52" s="65"/>
      <c r="I52" s="207"/>
      <c r="J52" s="207"/>
      <c r="K52" s="458"/>
      <c r="L52" s="202"/>
      <c r="M52" s="207"/>
      <c r="N52" s="202">
        <f>2661000*0.5</f>
        <v>1330500</v>
      </c>
      <c r="O52" s="458"/>
      <c r="P52" s="202">
        <f>2661000*0.5</f>
        <v>1330500</v>
      </c>
    </row>
    <row r="53" spans="1:16" ht="12">
      <c r="A53" s="11"/>
      <c r="B53" s="1" t="s">
        <v>92</v>
      </c>
      <c r="H53" s="67"/>
      <c r="I53" s="111"/>
      <c r="J53" s="207"/>
      <c r="K53" s="257"/>
      <c r="L53" s="202"/>
      <c r="M53" s="111"/>
      <c r="N53" s="202">
        <f>2000000</f>
        <v>2000000</v>
      </c>
      <c r="O53" s="257"/>
      <c r="P53" s="202">
        <f>2000000</f>
        <v>2000000</v>
      </c>
    </row>
    <row r="54" spans="1:16" ht="12.75" thickBot="1">
      <c r="A54" s="11"/>
      <c r="B54" s="36"/>
      <c r="C54" s="36"/>
      <c r="D54" s="36"/>
      <c r="E54" s="36"/>
      <c r="F54" s="36"/>
      <c r="G54" s="36"/>
      <c r="H54" s="290"/>
      <c r="I54" s="284"/>
      <c r="J54" s="284"/>
      <c r="K54" s="509"/>
      <c r="L54" s="469"/>
      <c r="M54" s="284"/>
      <c r="N54" s="202"/>
      <c r="O54" s="509"/>
      <c r="P54" s="469"/>
    </row>
    <row r="55" spans="1:16" ht="12.75" thickTop="1">
      <c r="A55" s="44" t="s">
        <v>112</v>
      </c>
      <c r="B55" s="14"/>
      <c r="C55" s="14"/>
      <c r="D55" s="14"/>
      <c r="E55" s="14"/>
      <c r="F55" s="14"/>
      <c r="G55" s="14"/>
      <c r="H55" s="291">
        <f>SUM(H50:H53)+H47+H35</f>
        <v>680625</v>
      </c>
      <c r="I55" s="285"/>
      <c r="J55" s="436">
        <f>SUM(J50:J53)+J47+J34+J25+J16+J8</f>
        <v>903870</v>
      </c>
      <c r="K55" s="470"/>
      <c r="L55" s="513">
        <f>SUM(L50:L53)+L47+L34+L25+L16+L8</f>
        <v>5402470</v>
      </c>
      <c r="M55" s="285"/>
      <c r="N55" s="513">
        <f>SUM(N50:N53)+N47+N34+N25+N16+N8</f>
        <v>30401330</v>
      </c>
      <c r="O55" s="470"/>
      <c r="P55" s="513">
        <f>SUM(P50:P53)+P47+P34+P25+P16+P8</f>
        <v>54425330</v>
      </c>
    </row>
    <row r="56" spans="1:16" ht="12">
      <c r="A56" s="24"/>
      <c r="H56" s="12"/>
      <c r="I56" s="196"/>
      <c r="J56" s="196"/>
      <c r="K56" s="196"/>
      <c r="L56" s="196"/>
      <c r="M56" s="196"/>
      <c r="N56" s="196"/>
      <c r="O56" s="196"/>
      <c r="P56" s="196"/>
    </row>
    <row r="57" spans="1:16" s="36" customFormat="1" ht="12">
      <c r="A57" s="45"/>
      <c r="B57" s="46"/>
      <c r="C57" s="46"/>
      <c r="D57" s="46"/>
      <c r="E57" s="46"/>
      <c r="F57" s="46"/>
      <c r="G57" s="46"/>
      <c r="I57" s="111"/>
      <c r="J57" s="111"/>
      <c r="K57" s="111"/>
      <c r="L57" s="111"/>
      <c r="M57" s="111"/>
      <c r="N57" s="111"/>
      <c r="O57" s="111"/>
      <c r="P57" s="111"/>
    </row>
    <row r="58" spans="1:16" s="36" customFormat="1" ht="12">
      <c r="A58" s="62" t="s">
        <v>489</v>
      </c>
      <c r="B58" s="49"/>
      <c r="H58" s="29"/>
      <c r="I58" s="43"/>
      <c r="J58" s="43"/>
      <c r="K58" s="43"/>
      <c r="L58" s="43"/>
      <c r="M58" s="43"/>
      <c r="N58" s="43"/>
      <c r="O58" s="43"/>
      <c r="P58" s="43"/>
    </row>
    <row r="59" spans="1:16" ht="12">
      <c r="A59" s="61"/>
      <c r="B59" s="16"/>
      <c r="C59" s="16"/>
      <c r="D59" s="16"/>
      <c r="E59" s="16"/>
      <c r="F59" s="16"/>
      <c r="G59" s="16"/>
      <c r="H59" s="63"/>
      <c r="I59" s="286"/>
      <c r="J59" s="286"/>
      <c r="K59" s="286"/>
      <c r="L59" s="286"/>
      <c r="M59" s="286"/>
      <c r="N59" s="286"/>
      <c r="O59" s="286"/>
      <c r="P59" s="286"/>
    </row>
    <row r="60" spans="1:16" ht="12">
      <c r="A60" s="5" t="s">
        <v>101</v>
      </c>
      <c r="B60" s="1" t="str">
        <f>B8</f>
        <v>Interim Water Management and Operations</v>
      </c>
      <c r="G60" s="64"/>
      <c r="H60" s="65">
        <f>H8*(1+$G$47)</f>
        <v>0</v>
      </c>
      <c r="I60" s="458"/>
      <c r="J60" s="437">
        <f>J8*(1+$I$47)</f>
        <v>0</v>
      </c>
      <c r="K60" s="458"/>
      <c r="L60" s="437">
        <f>L8*(1+$K$47)</f>
        <v>0</v>
      </c>
      <c r="M60" s="458"/>
      <c r="N60" s="437">
        <f>N8*(1+$M$47)</f>
        <v>0</v>
      </c>
      <c r="O60" s="458"/>
      <c r="P60" s="437">
        <f>P8*(1+$O$47)</f>
        <v>0</v>
      </c>
    </row>
    <row r="61" spans="1:16" ht="12">
      <c r="A61" s="11" t="s">
        <v>102</v>
      </c>
      <c r="B61" s="1" t="str">
        <f>B10</f>
        <v>Water Treatment Plant</v>
      </c>
      <c r="G61" s="64"/>
      <c r="H61" s="65">
        <f>H16*(1+$G$47)</f>
        <v>0</v>
      </c>
      <c r="I61" s="458"/>
      <c r="J61" s="202">
        <f>J16*(1+$I$47)</f>
        <v>0</v>
      </c>
      <c r="K61" s="458"/>
      <c r="L61" s="202">
        <f>L16*(1+$K$47)</f>
        <v>3137400.0000000005</v>
      </c>
      <c r="M61" s="458"/>
      <c r="N61" s="202">
        <f>N16*(1+$M$47)</f>
        <v>20790000</v>
      </c>
      <c r="O61" s="458"/>
      <c r="P61" s="202">
        <f>P16*(1+$O$47)</f>
        <v>41580000</v>
      </c>
    </row>
    <row r="62" spans="1:16" ht="12">
      <c r="A62" s="11" t="s">
        <v>103</v>
      </c>
      <c r="B62" s="15" t="str">
        <f>B18</f>
        <v>General Site Operation and Maintenance</v>
      </c>
      <c r="G62" s="64"/>
      <c r="H62" s="66">
        <f>H25*(1+$G$47)</f>
        <v>0</v>
      </c>
      <c r="I62" s="458"/>
      <c r="J62" s="202">
        <f>J25*(1+$I$47)</f>
        <v>0</v>
      </c>
      <c r="K62" s="458"/>
      <c r="L62" s="202">
        <f>L25*(1+$K$47)</f>
        <v>0</v>
      </c>
      <c r="M62" s="458"/>
      <c r="N62" s="202">
        <f>N25*(1+$M$47)</f>
        <v>0</v>
      </c>
      <c r="O62" s="458"/>
      <c r="P62" s="202">
        <f>P25*(1+$O$47)</f>
        <v>0</v>
      </c>
    </row>
    <row r="63" spans="1:16" ht="12">
      <c r="A63" s="11" t="s">
        <v>104</v>
      </c>
      <c r="B63" s="1" t="str">
        <f>B27</f>
        <v>Long-Term Operation and Maintenance Expense</v>
      </c>
      <c r="G63" s="64"/>
      <c r="H63" s="66"/>
      <c r="I63" s="458"/>
      <c r="J63" s="202"/>
      <c r="K63" s="458"/>
      <c r="L63" s="202"/>
      <c r="M63" s="458"/>
      <c r="N63" s="202"/>
      <c r="O63" s="458"/>
      <c r="P63" s="202"/>
    </row>
    <row r="64" spans="1:16" ht="12">
      <c r="A64" s="11"/>
      <c r="B64" s="7"/>
      <c r="C64" s="1" t="str">
        <f>B28</f>
        <v>Surface and Groundwater  Monitoring</v>
      </c>
      <c r="G64" s="64"/>
      <c r="H64" s="65">
        <f>H28*(1+$G$47)</f>
        <v>375000</v>
      </c>
      <c r="I64" s="458"/>
      <c r="J64" s="202">
        <f>J28*(1+$I$47)</f>
        <v>498000.00000000006</v>
      </c>
      <c r="K64" s="458"/>
      <c r="L64" s="202">
        <f>L28*(1+$K$47)</f>
        <v>730400.0000000001</v>
      </c>
      <c r="M64" s="458"/>
      <c r="N64" s="202">
        <f>N28*(1+$M$47)</f>
        <v>2002000</v>
      </c>
      <c r="O64" s="458"/>
      <c r="P64" s="202">
        <f>P28*(1+$O$47)</f>
        <v>3542000</v>
      </c>
    </row>
    <row r="65" spans="1:16" ht="12">
      <c r="A65" s="11"/>
      <c r="C65" s="1" t="str">
        <f>B29</f>
        <v>Reclamation Monitoring</v>
      </c>
      <c r="G65" s="64"/>
      <c r="H65" s="65">
        <f>H29*(1+$G$47)</f>
        <v>305625</v>
      </c>
      <c r="I65" s="458"/>
      <c r="J65" s="202">
        <f>J29*(1+$I$47)</f>
        <v>405870.00000000006</v>
      </c>
      <c r="K65" s="458"/>
      <c r="L65" s="202">
        <f>L29*(1+$I$47)</f>
        <v>1401870.0000000002</v>
      </c>
      <c r="M65" s="458"/>
      <c r="N65" s="202">
        <f>N29*(1+$M$47)</f>
        <v>2686530</v>
      </c>
      <c r="O65" s="458"/>
      <c r="P65" s="202">
        <f>P29*(1+$O$47)</f>
        <v>4226530</v>
      </c>
    </row>
    <row r="66" spans="1:16" ht="12">
      <c r="A66" s="11"/>
      <c r="C66" s="1" t="str">
        <f>B30</f>
        <v>Reclamation Maintenance</v>
      </c>
      <c r="G66" s="64"/>
      <c r="H66" s="65">
        <f>(H31+H32+H33)*(1+$G$47)</f>
        <v>0</v>
      </c>
      <c r="I66" s="458"/>
      <c r="J66" s="434">
        <f>(J31+J32+J33)*(1+$I$47)</f>
        <v>0</v>
      </c>
      <c r="K66" s="458"/>
      <c r="L66" s="434">
        <f>(L30+L31+L32+L33)*(1+$K$47)</f>
        <v>132800</v>
      </c>
      <c r="M66" s="458"/>
      <c r="N66" s="434">
        <f>(N30+N31+N32+N33)*(1+$M$47)</f>
        <v>261800</v>
      </c>
      <c r="O66" s="458"/>
      <c r="P66" s="202">
        <f>(P30+P31+P32+P33)*(1+$O$47)</f>
        <v>415800</v>
      </c>
    </row>
    <row r="67" spans="1:16" ht="12">
      <c r="A67" s="11"/>
      <c r="B67" s="1" t="str">
        <f>B34</f>
        <v>Sub-Total Long-Term Operation and Maintenance Expense</v>
      </c>
      <c r="G67" s="64"/>
      <c r="H67" s="65">
        <f>SUM(H64:H66)</f>
        <v>680625</v>
      </c>
      <c r="I67" s="458"/>
      <c r="J67" s="202">
        <f>SUM(J64:J66)</f>
        <v>903870.0000000001</v>
      </c>
      <c r="K67" s="458"/>
      <c r="L67" s="202">
        <f>SUM(L64:L66)</f>
        <v>2265070.0000000005</v>
      </c>
      <c r="M67" s="458"/>
      <c r="N67" s="202">
        <f>SUM(N64:N66)</f>
        <v>4950330</v>
      </c>
      <c r="O67" s="458"/>
      <c r="P67" s="202">
        <f>SUM(P64:P66)</f>
        <v>8184330</v>
      </c>
    </row>
    <row r="68" spans="1:16" ht="12">
      <c r="A68" s="11" t="s">
        <v>106</v>
      </c>
      <c r="B68" s="1" t="str">
        <f>B49</f>
        <v>Water Treatment Plant Capital Replacement</v>
      </c>
      <c r="G68" s="64"/>
      <c r="H68" s="65">
        <f>(SUM(H50:H53))</f>
        <v>0</v>
      </c>
      <c r="I68" s="458"/>
      <c r="J68" s="202">
        <f>(SUM(J50:J53))</f>
        <v>0</v>
      </c>
      <c r="K68" s="458"/>
      <c r="L68" s="202">
        <f>(SUM(L50:L53))</f>
        <v>0</v>
      </c>
      <c r="M68" s="458"/>
      <c r="N68" s="202">
        <f>(SUM(N50:N53))</f>
        <v>4661000</v>
      </c>
      <c r="O68" s="458"/>
      <c r="P68" s="202">
        <f>(SUM(P50:P53))</f>
        <v>4661000</v>
      </c>
    </row>
    <row r="69" spans="1:16" ht="12">
      <c r="A69" s="11"/>
      <c r="G69" s="64"/>
      <c r="H69" s="67"/>
      <c r="I69" s="257"/>
      <c r="J69" s="140"/>
      <c r="K69" s="257"/>
      <c r="L69" s="514"/>
      <c r="M69" s="257"/>
      <c r="N69" s="514"/>
      <c r="O69" s="257"/>
      <c r="P69" s="202"/>
    </row>
    <row r="70" spans="1:16" ht="12">
      <c r="A70" s="20"/>
      <c r="B70" s="9" t="s">
        <v>129</v>
      </c>
      <c r="C70" s="16"/>
      <c r="D70" s="16"/>
      <c r="E70" s="16"/>
      <c r="F70" s="16"/>
      <c r="G70" s="68"/>
      <c r="H70" s="69">
        <f>H60+H61+H62+H67+H68</f>
        <v>680625</v>
      </c>
      <c r="I70" s="459"/>
      <c r="J70" s="296">
        <f>J60+J61+J62+J67+J68</f>
        <v>903870.0000000001</v>
      </c>
      <c r="K70" s="459"/>
      <c r="L70" s="515">
        <f>L60+L61+L62+L67+L68</f>
        <v>5402470.000000001</v>
      </c>
      <c r="M70" s="459"/>
      <c r="N70" s="515">
        <f>N60+N61+N62+N67+N68</f>
        <v>30401330</v>
      </c>
      <c r="O70" s="459"/>
      <c r="P70" s="515">
        <f>P60+P61+P62+P67+P68</f>
        <v>54425330</v>
      </c>
    </row>
    <row r="71" spans="1:16" s="36" customFormat="1" ht="12">
      <c r="A71" s="45"/>
      <c r="H71" s="40"/>
      <c r="I71" s="207"/>
      <c r="J71" s="207"/>
      <c r="K71" s="378"/>
      <c r="L71" s="378"/>
      <c r="M71" s="207"/>
      <c r="N71" s="207"/>
      <c r="O71" s="207"/>
      <c r="P71" s="207"/>
    </row>
    <row r="72" spans="1:16" s="36" customFormat="1" ht="12">
      <c r="A72" s="45"/>
      <c r="H72" s="40"/>
      <c r="I72" s="207"/>
      <c r="J72" s="207"/>
      <c r="K72" s="378"/>
      <c r="L72" s="378"/>
      <c r="M72" s="378"/>
      <c r="N72" s="378"/>
      <c r="O72" s="378"/>
      <c r="P72" s="378"/>
    </row>
    <row r="73" spans="1:16" s="36" customFormat="1" ht="12">
      <c r="A73" s="45"/>
      <c r="H73" s="40"/>
      <c r="I73" s="207"/>
      <c r="J73" s="207"/>
      <c r="K73" s="378"/>
      <c r="L73" s="378"/>
      <c r="M73" s="378"/>
      <c r="N73" s="378"/>
      <c r="O73" s="378"/>
      <c r="P73" s="378"/>
    </row>
    <row r="74" spans="1:16" s="36" customFormat="1" ht="12">
      <c r="A74" s="45"/>
      <c r="I74" s="111"/>
      <c r="J74" s="207"/>
      <c r="K74" s="199"/>
      <c r="L74" s="200"/>
      <c r="M74" s="199"/>
      <c r="N74" s="200"/>
      <c r="O74" s="199"/>
      <c r="P74" s="200"/>
    </row>
    <row r="75" spans="1:16" s="36" customFormat="1" ht="12">
      <c r="A75" s="45"/>
      <c r="H75" s="40"/>
      <c r="I75" s="207"/>
      <c r="J75" s="207"/>
      <c r="K75" s="200"/>
      <c r="L75" s="200"/>
      <c r="M75" s="200"/>
      <c r="N75" s="200"/>
      <c r="O75" s="200"/>
      <c r="P75" s="200"/>
    </row>
    <row r="76" spans="1:16" s="36" customFormat="1" ht="12">
      <c r="A76" s="45"/>
      <c r="H76" s="40"/>
      <c r="I76" s="207"/>
      <c r="J76" s="207"/>
      <c r="K76" s="200"/>
      <c r="L76" s="200"/>
      <c r="M76" s="200"/>
      <c r="N76" s="200"/>
      <c r="O76" s="200"/>
      <c r="P76" s="200"/>
    </row>
    <row r="77" spans="1:16" ht="12">
      <c r="A77" s="24"/>
      <c r="H77" s="12"/>
      <c r="I77" s="196"/>
      <c r="J77" s="196"/>
      <c r="K77" s="201"/>
      <c r="L77" s="201"/>
      <c r="M77" s="201"/>
      <c r="N77" s="201"/>
      <c r="O77" s="201"/>
      <c r="P77" s="201"/>
    </row>
    <row r="78" spans="1:16" ht="12">
      <c r="A78" s="24"/>
      <c r="H78" s="12"/>
      <c r="I78" s="196"/>
      <c r="J78" s="196"/>
      <c r="K78" s="201"/>
      <c r="L78" s="201"/>
      <c r="M78" s="201"/>
      <c r="N78" s="201"/>
      <c r="O78" s="201"/>
      <c r="P78" s="201"/>
    </row>
    <row r="79" spans="1:16" ht="12">
      <c r="A79" s="24"/>
      <c r="H79" s="12"/>
      <c r="I79" s="196"/>
      <c r="J79" s="196"/>
      <c r="K79" s="201"/>
      <c r="L79" s="201"/>
      <c r="M79" s="201"/>
      <c r="N79" s="201"/>
      <c r="O79" s="201"/>
      <c r="P79" s="201"/>
    </row>
    <row r="80" spans="1:16" ht="12">
      <c r="A80" s="24"/>
      <c r="H80" s="12"/>
      <c r="I80" s="201"/>
      <c r="J80" s="201"/>
      <c r="K80" s="201"/>
      <c r="L80" s="201"/>
      <c r="M80" s="201"/>
      <c r="N80" s="201"/>
      <c r="O80" s="201"/>
      <c r="P80" s="201"/>
    </row>
    <row r="81" spans="1:16" ht="12">
      <c r="A81" s="24"/>
      <c r="H81" s="12"/>
      <c r="I81" s="201"/>
      <c r="J81" s="201"/>
      <c r="K81" s="201"/>
      <c r="L81" s="201"/>
      <c r="M81" s="201"/>
      <c r="N81" s="201"/>
      <c r="O81" s="201"/>
      <c r="P81" s="201"/>
    </row>
    <row r="82" spans="1:16" ht="12">
      <c r="A82" s="24"/>
      <c r="H82" s="12"/>
      <c r="I82" s="201"/>
      <c r="J82" s="201"/>
      <c r="K82" s="201"/>
      <c r="L82" s="201"/>
      <c r="M82" s="201"/>
      <c r="N82" s="201"/>
      <c r="O82" s="201"/>
      <c r="P82" s="201"/>
    </row>
    <row r="83" spans="1:16" ht="12">
      <c r="A83" s="24"/>
      <c r="B83" s="7"/>
      <c r="H83" s="17"/>
      <c r="I83" s="196"/>
      <c r="J83" s="196"/>
      <c r="K83" s="196"/>
      <c r="L83" s="196"/>
      <c r="M83" s="196"/>
      <c r="N83" s="196"/>
      <c r="O83" s="196"/>
      <c r="P83" s="196"/>
    </row>
    <row r="84" spans="1:16" ht="12">
      <c r="A84" s="24"/>
      <c r="H84" s="17"/>
      <c r="I84" s="196"/>
      <c r="J84" s="196"/>
      <c r="K84" s="196"/>
      <c r="L84" s="196"/>
      <c r="M84" s="196"/>
      <c r="N84" s="196"/>
      <c r="O84" s="196"/>
      <c r="P84" s="196"/>
    </row>
    <row r="85" spans="1:2" ht="12">
      <c r="A85" s="24"/>
      <c r="B85" s="7"/>
    </row>
    <row r="86" spans="1:16" ht="12">
      <c r="A86" s="24"/>
      <c r="J86" s="201"/>
      <c r="L86" s="201"/>
      <c r="N86" s="201"/>
      <c r="P86" s="201"/>
    </row>
    <row r="87" spans="1:15" ht="12">
      <c r="A87" s="24"/>
      <c r="H87" s="12"/>
      <c r="I87" s="201"/>
      <c r="K87" s="201"/>
      <c r="M87" s="201"/>
      <c r="O87" s="201"/>
    </row>
    <row r="88" ht="12">
      <c r="A88" s="24"/>
    </row>
    <row r="89" spans="1:16" ht="12">
      <c r="A89" s="24"/>
      <c r="J89" s="201"/>
      <c r="L89" s="201"/>
      <c r="N89" s="201"/>
      <c r="P89" s="201"/>
    </row>
    <row r="90" spans="1:16" ht="12">
      <c r="A90" s="24"/>
      <c r="H90" s="12"/>
      <c r="I90" s="201"/>
      <c r="J90" s="201"/>
      <c r="K90" s="201"/>
      <c r="L90" s="201"/>
      <c r="M90" s="201"/>
      <c r="N90" s="201"/>
      <c r="O90" s="201"/>
      <c r="P90" s="201"/>
    </row>
    <row r="91" spans="1:16" ht="12">
      <c r="A91" s="24"/>
      <c r="H91" s="12"/>
      <c r="I91" s="201"/>
      <c r="J91" s="201"/>
      <c r="K91" s="201"/>
      <c r="L91" s="201"/>
      <c r="M91" s="201"/>
      <c r="N91" s="201"/>
      <c r="O91" s="201"/>
      <c r="P91" s="201"/>
    </row>
    <row r="92" spans="1:16" ht="12">
      <c r="A92" s="24"/>
      <c r="H92" s="12"/>
      <c r="I92" s="201"/>
      <c r="J92" s="201"/>
      <c r="K92" s="201"/>
      <c r="L92" s="201"/>
      <c r="M92" s="201"/>
      <c r="N92" s="201"/>
      <c r="O92" s="201"/>
      <c r="P92" s="201"/>
    </row>
    <row r="93" spans="1:16" ht="12">
      <c r="A93" s="24"/>
      <c r="H93" s="12"/>
      <c r="I93" s="201"/>
      <c r="J93" s="201"/>
      <c r="K93" s="201"/>
      <c r="L93" s="201"/>
      <c r="M93" s="201"/>
      <c r="N93" s="201"/>
      <c r="O93" s="201"/>
      <c r="P93" s="201"/>
    </row>
    <row r="94" spans="1:15" ht="12">
      <c r="A94" s="24"/>
      <c r="H94" s="12"/>
      <c r="I94" s="201"/>
      <c r="K94" s="201"/>
      <c r="M94" s="201"/>
      <c r="O94" s="201"/>
    </row>
    <row r="95" spans="1:16" ht="12">
      <c r="A95" s="24"/>
      <c r="J95" s="201"/>
      <c r="L95" s="201"/>
      <c r="N95" s="201"/>
      <c r="P95" s="201"/>
    </row>
    <row r="96" spans="1:16" ht="12">
      <c r="A96" s="24"/>
      <c r="H96" s="12"/>
      <c r="I96" s="201"/>
      <c r="J96" s="201"/>
      <c r="K96" s="201"/>
      <c r="L96" s="201"/>
      <c r="M96" s="201"/>
      <c r="N96" s="201"/>
      <c r="O96" s="201"/>
      <c r="P96" s="201"/>
    </row>
    <row r="97" spans="1:15" ht="12">
      <c r="A97" s="24"/>
      <c r="H97" s="12"/>
      <c r="I97" s="201"/>
      <c r="K97" s="201"/>
      <c r="M97" s="201"/>
      <c r="O97" s="201"/>
    </row>
    <row r="98" ht="12">
      <c r="A98" s="24"/>
    </row>
    <row r="99" spans="1:16" ht="12">
      <c r="A99" s="24"/>
      <c r="J99" s="201"/>
      <c r="L99" s="201"/>
      <c r="N99" s="201"/>
      <c r="P99" s="201"/>
    </row>
    <row r="100" spans="1:16" ht="12">
      <c r="A100" s="24"/>
      <c r="H100" s="12"/>
      <c r="I100" s="201"/>
      <c r="J100" s="201"/>
      <c r="K100" s="201"/>
      <c r="L100" s="201"/>
      <c r="M100" s="201"/>
      <c r="N100" s="201"/>
      <c r="O100" s="201"/>
      <c r="P100" s="201"/>
    </row>
    <row r="101" spans="1:16" ht="12">
      <c r="A101" s="24"/>
      <c r="H101" s="12"/>
      <c r="I101" s="201"/>
      <c r="J101" s="201"/>
      <c r="K101" s="201"/>
      <c r="L101" s="201"/>
      <c r="M101" s="201"/>
      <c r="N101" s="201"/>
      <c r="O101" s="201"/>
      <c r="P101" s="201"/>
    </row>
    <row r="102" spans="1:16" ht="12">
      <c r="A102" s="24"/>
      <c r="H102" s="12"/>
      <c r="I102" s="201"/>
      <c r="J102" s="201"/>
      <c r="K102" s="201"/>
      <c r="L102" s="201"/>
      <c r="M102" s="201"/>
      <c r="N102" s="201"/>
      <c r="O102" s="201"/>
      <c r="P102" s="201"/>
    </row>
    <row r="103" spans="1:16" ht="12">
      <c r="A103" s="24"/>
      <c r="H103" s="12"/>
      <c r="I103" s="201"/>
      <c r="J103" s="201"/>
      <c r="K103" s="201"/>
      <c r="L103" s="201"/>
      <c r="M103" s="201"/>
      <c r="N103" s="201"/>
      <c r="O103" s="201"/>
      <c r="P103" s="201"/>
    </row>
    <row r="104" spans="1:15" ht="12">
      <c r="A104" s="24"/>
      <c r="H104" s="12"/>
      <c r="I104" s="201"/>
      <c r="K104" s="201"/>
      <c r="M104" s="201"/>
      <c r="O104" s="201"/>
    </row>
    <row r="105" spans="1:16" ht="12">
      <c r="A105" s="24"/>
      <c r="J105" s="201"/>
      <c r="L105" s="201"/>
      <c r="N105" s="201"/>
      <c r="P105" s="201"/>
    </row>
    <row r="106" spans="1:16" ht="12">
      <c r="A106" s="24"/>
      <c r="H106" s="12"/>
      <c r="I106" s="201"/>
      <c r="J106" s="201"/>
      <c r="K106" s="201"/>
      <c r="L106" s="201"/>
      <c r="M106" s="201"/>
      <c r="N106" s="201"/>
      <c r="O106" s="201"/>
      <c r="P106" s="201"/>
    </row>
    <row r="107" spans="1:16" ht="12">
      <c r="A107" s="24"/>
      <c r="H107" s="12"/>
      <c r="I107" s="201"/>
      <c r="J107" s="201"/>
      <c r="K107" s="201"/>
      <c r="L107" s="201"/>
      <c r="M107" s="201"/>
      <c r="N107" s="201"/>
      <c r="O107" s="201"/>
      <c r="P107" s="201"/>
    </row>
    <row r="108" spans="1:16" ht="12">
      <c r="A108" s="24"/>
      <c r="H108" s="12"/>
      <c r="I108" s="201"/>
      <c r="J108" s="201"/>
      <c r="K108" s="201"/>
      <c r="L108" s="201"/>
      <c r="M108" s="201"/>
      <c r="N108" s="201"/>
      <c r="O108" s="201"/>
      <c r="P108" s="201"/>
    </row>
    <row r="109" spans="1:16" ht="12">
      <c r="A109" s="24"/>
      <c r="H109" s="12"/>
      <c r="I109" s="201"/>
      <c r="J109" s="201"/>
      <c r="K109" s="201"/>
      <c r="L109" s="201"/>
      <c r="M109" s="201"/>
      <c r="N109" s="201"/>
      <c r="O109" s="201"/>
      <c r="P109" s="201"/>
    </row>
    <row r="110" spans="1:2" ht="12">
      <c r="A110" s="24"/>
      <c r="B110" s="7"/>
    </row>
    <row r="111" spans="1:2" ht="12">
      <c r="A111" s="24"/>
      <c r="B111" s="21"/>
    </row>
    <row r="112" spans="1:16" ht="12">
      <c r="A112" s="24"/>
      <c r="H112" s="12"/>
      <c r="I112" s="201"/>
      <c r="J112" s="201"/>
      <c r="K112" s="201"/>
      <c r="L112" s="201"/>
      <c r="M112" s="201"/>
      <c r="N112" s="201"/>
      <c r="O112" s="201"/>
      <c r="P112" s="201"/>
    </row>
    <row r="113" spans="1:16" ht="12">
      <c r="A113" s="24"/>
      <c r="H113" s="12"/>
      <c r="I113" s="201"/>
      <c r="J113" s="201"/>
      <c r="K113" s="201"/>
      <c r="L113" s="201"/>
      <c r="M113" s="201"/>
      <c r="N113" s="201"/>
      <c r="O113" s="201"/>
      <c r="P113" s="201"/>
    </row>
    <row r="114" spans="1:16" ht="12">
      <c r="A114" s="24"/>
      <c r="H114" s="12"/>
      <c r="I114" s="201"/>
      <c r="J114" s="201"/>
      <c r="K114" s="201"/>
      <c r="L114" s="201"/>
      <c r="M114" s="201"/>
      <c r="N114" s="201"/>
      <c r="O114" s="201"/>
      <c r="P114" s="201"/>
    </row>
    <row r="115" spans="1:16" ht="12">
      <c r="A115" s="24"/>
      <c r="H115" s="12"/>
      <c r="I115" s="201"/>
      <c r="J115" s="201"/>
      <c r="K115" s="201"/>
      <c r="L115" s="201"/>
      <c r="M115" s="201"/>
      <c r="N115" s="201"/>
      <c r="O115" s="201"/>
      <c r="P115" s="201"/>
    </row>
    <row r="116" spans="1:16" ht="12">
      <c r="A116" s="24"/>
      <c r="H116" s="12"/>
      <c r="I116" s="201"/>
      <c r="J116" s="201"/>
      <c r="K116" s="201"/>
      <c r="L116" s="201"/>
      <c r="M116" s="201"/>
      <c r="N116" s="201"/>
      <c r="O116" s="201"/>
      <c r="P116" s="201"/>
    </row>
    <row r="117" spans="1:16" ht="12">
      <c r="A117" s="24"/>
      <c r="H117" s="12"/>
      <c r="I117" s="201"/>
      <c r="J117" s="201"/>
      <c r="K117" s="201"/>
      <c r="L117" s="201"/>
      <c r="M117" s="201"/>
      <c r="N117" s="201"/>
      <c r="O117" s="201"/>
      <c r="P117" s="201"/>
    </row>
    <row r="118" spans="1:16" ht="12">
      <c r="A118" s="24"/>
      <c r="H118" s="12"/>
      <c r="I118" s="201"/>
      <c r="J118" s="201"/>
      <c r="K118" s="201"/>
      <c r="L118" s="201"/>
      <c r="M118" s="201"/>
      <c r="N118" s="201"/>
      <c r="O118" s="201"/>
      <c r="P118" s="201"/>
    </row>
    <row r="119" ht="12">
      <c r="A119" s="24"/>
    </row>
    <row r="120" ht="12">
      <c r="A120" s="24"/>
    </row>
    <row r="121" spans="1:16" ht="12">
      <c r="A121" s="24"/>
      <c r="H121" s="12"/>
      <c r="I121" s="201"/>
      <c r="J121" s="201"/>
      <c r="K121" s="201"/>
      <c r="L121" s="201"/>
      <c r="M121" s="201"/>
      <c r="N121" s="201"/>
      <c r="O121" s="201"/>
      <c r="P121" s="201"/>
    </row>
    <row r="122" spans="1:16" ht="12">
      <c r="A122" s="24"/>
      <c r="H122" s="12"/>
      <c r="I122" s="201"/>
      <c r="J122" s="201"/>
      <c r="K122" s="201"/>
      <c r="L122" s="201"/>
      <c r="M122" s="201"/>
      <c r="N122" s="201"/>
      <c r="O122" s="201"/>
      <c r="P122" s="201"/>
    </row>
    <row r="123" spans="1:16" ht="12">
      <c r="A123" s="24"/>
      <c r="H123" s="12"/>
      <c r="I123" s="201"/>
      <c r="J123" s="201"/>
      <c r="K123" s="201"/>
      <c r="L123" s="201"/>
      <c r="M123" s="201"/>
      <c r="N123" s="201"/>
      <c r="O123" s="201"/>
      <c r="P123" s="201"/>
    </row>
    <row r="124" spans="1:16" ht="12">
      <c r="A124" s="24"/>
      <c r="H124" s="12"/>
      <c r="I124" s="201"/>
      <c r="J124" s="201"/>
      <c r="K124" s="201"/>
      <c r="L124" s="201"/>
      <c r="M124" s="201"/>
      <c r="N124" s="201"/>
      <c r="O124" s="201"/>
      <c r="P124" s="201"/>
    </row>
    <row r="125" spans="1:16" ht="12">
      <c r="A125" s="24"/>
      <c r="H125" s="12"/>
      <c r="I125" s="201"/>
      <c r="J125" s="201"/>
      <c r="K125" s="201"/>
      <c r="L125" s="201"/>
      <c r="M125" s="201"/>
      <c r="N125" s="201"/>
      <c r="O125" s="201"/>
      <c r="P125" s="201"/>
    </row>
    <row r="126" spans="1:16" ht="12">
      <c r="A126" s="24"/>
      <c r="H126" s="12"/>
      <c r="I126" s="201"/>
      <c r="J126" s="201"/>
      <c r="K126" s="201"/>
      <c r="L126" s="201"/>
      <c r="M126" s="201"/>
      <c r="N126" s="201"/>
      <c r="O126" s="201"/>
      <c r="P126" s="201"/>
    </row>
    <row r="127" spans="1:16" ht="12">
      <c r="A127" s="24"/>
      <c r="H127" s="17"/>
      <c r="I127" s="196"/>
      <c r="J127" s="196"/>
      <c r="K127" s="196"/>
      <c r="L127" s="196"/>
      <c r="M127" s="196"/>
      <c r="N127" s="196"/>
      <c r="O127" s="196"/>
      <c r="P127" s="196"/>
    </row>
    <row r="128" spans="1:16" ht="12">
      <c r="A128" s="24"/>
      <c r="H128" s="17"/>
      <c r="I128" s="196"/>
      <c r="J128" s="196"/>
      <c r="K128" s="196"/>
      <c r="L128" s="196"/>
      <c r="M128" s="196"/>
      <c r="N128" s="196"/>
      <c r="O128" s="196"/>
      <c r="P128" s="196"/>
    </row>
    <row r="129" spans="1:16" ht="12">
      <c r="A129" s="24"/>
      <c r="B129" s="7"/>
      <c r="H129" s="17"/>
      <c r="I129" s="196"/>
      <c r="J129" s="196"/>
      <c r="K129" s="196"/>
      <c r="L129" s="196"/>
      <c r="M129" s="196"/>
      <c r="N129" s="196"/>
      <c r="O129" s="196"/>
      <c r="P129" s="196"/>
    </row>
    <row r="130" spans="1:16" ht="12">
      <c r="A130" s="24"/>
      <c r="H130" s="17"/>
      <c r="I130" s="196"/>
      <c r="J130" s="196"/>
      <c r="K130" s="196"/>
      <c r="L130" s="196"/>
      <c r="M130" s="196"/>
      <c r="N130" s="196"/>
      <c r="O130" s="196"/>
      <c r="P130" s="196"/>
    </row>
    <row r="131" spans="1:16" ht="12">
      <c r="A131" s="24"/>
      <c r="H131" s="17"/>
      <c r="I131" s="196"/>
      <c r="J131" s="196"/>
      <c r="K131" s="196"/>
      <c r="L131" s="196"/>
      <c r="M131" s="196"/>
      <c r="N131" s="196"/>
      <c r="O131" s="196"/>
      <c r="P131" s="196"/>
    </row>
    <row r="132" spans="1:16" ht="12">
      <c r="A132" s="24"/>
      <c r="H132" s="17"/>
      <c r="I132" s="196"/>
      <c r="J132" s="196"/>
      <c r="K132" s="196"/>
      <c r="L132" s="196"/>
      <c r="M132" s="196"/>
      <c r="N132" s="196"/>
      <c r="O132" s="196"/>
      <c r="P132" s="196"/>
    </row>
    <row r="133" spans="1:16" ht="12">
      <c r="A133" s="24"/>
      <c r="H133" s="17"/>
      <c r="I133" s="196"/>
      <c r="J133" s="196"/>
      <c r="K133" s="196"/>
      <c r="L133" s="196"/>
      <c r="M133" s="196"/>
      <c r="N133" s="196"/>
      <c r="O133" s="196"/>
      <c r="P133" s="196"/>
    </row>
    <row r="134" spans="1:16" ht="12">
      <c r="A134" s="24"/>
      <c r="H134" s="17"/>
      <c r="I134" s="196"/>
      <c r="J134" s="196"/>
      <c r="K134" s="196"/>
      <c r="L134" s="196"/>
      <c r="M134" s="196"/>
      <c r="N134" s="196"/>
      <c r="O134" s="196"/>
      <c r="P134" s="196"/>
    </row>
    <row r="135" spans="1:16" ht="12">
      <c r="A135" s="24"/>
      <c r="H135" s="17"/>
      <c r="I135" s="196"/>
      <c r="J135" s="196"/>
      <c r="K135" s="196"/>
      <c r="L135" s="196"/>
      <c r="M135" s="196"/>
      <c r="N135" s="196"/>
      <c r="O135" s="196"/>
      <c r="P135" s="196"/>
    </row>
    <row r="136" spans="1:16" ht="12">
      <c r="A136" s="24"/>
      <c r="H136" s="17"/>
      <c r="I136" s="196"/>
      <c r="J136" s="196"/>
      <c r="K136" s="196"/>
      <c r="L136" s="196"/>
      <c r="M136" s="196"/>
      <c r="N136" s="196"/>
      <c r="O136" s="196"/>
      <c r="P136" s="196"/>
    </row>
    <row r="137" spans="1:16" ht="12">
      <c r="A137" s="24"/>
      <c r="H137" s="17"/>
      <c r="I137" s="196"/>
      <c r="J137" s="196"/>
      <c r="K137" s="196"/>
      <c r="L137" s="196"/>
      <c r="M137" s="196"/>
      <c r="N137" s="196"/>
      <c r="O137" s="196"/>
      <c r="P137" s="196"/>
    </row>
    <row r="138" spans="1:16" ht="12">
      <c r="A138" s="24"/>
      <c r="B138" s="7"/>
      <c r="H138" s="17"/>
      <c r="I138" s="196"/>
      <c r="J138" s="196"/>
      <c r="K138" s="196"/>
      <c r="L138" s="196"/>
      <c r="M138" s="196"/>
      <c r="N138" s="196"/>
      <c r="O138" s="196"/>
      <c r="P138" s="196"/>
    </row>
    <row r="139" spans="1:16" ht="12">
      <c r="A139" s="24"/>
      <c r="H139" s="17"/>
      <c r="I139" s="196"/>
      <c r="J139" s="196"/>
      <c r="K139" s="196"/>
      <c r="L139" s="196"/>
      <c r="M139" s="196"/>
      <c r="N139" s="196"/>
      <c r="O139" s="196"/>
      <c r="P139" s="196"/>
    </row>
    <row r="140" spans="1:2" ht="12">
      <c r="A140" s="24"/>
      <c r="B140" s="21"/>
    </row>
    <row r="141" spans="1:16" ht="12">
      <c r="A141" s="24"/>
      <c r="H141" s="17"/>
      <c r="I141" s="196"/>
      <c r="J141" s="196"/>
      <c r="K141" s="196"/>
      <c r="L141" s="196"/>
      <c r="M141" s="196"/>
      <c r="N141" s="196"/>
      <c r="O141" s="196"/>
      <c r="P141" s="196"/>
    </row>
    <row r="142" spans="1:16" ht="12">
      <c r="A142" s="24"/>
      <c r="H142" s="17"/>
      <c r="I142" s="196"/>
      <c r="J142" s="196"/>
      <c r="K142" s="196"/>
      <c r="L142" s="196"/>
      <c r="M142" s="196"/>
      <c r="N142" s="196"/>
      <c r="O142" s="196"/>
      <c r="P142" s="196"/>
    </row>
    <row r="143" spans="1:16" ht="12">
      <c r="A143" s="24"/>
      <c r="H143" s="17"/>
      <c r="I143" s="196"/>
      <c r="J143" s="196"/>
      <c r="K143" s="196"/>
      <c r="L143" s="196"/>
      <c r="M143" s="196"/>
      <c r="N143" s="196"/>
      <c r="O143" s="196"/>
      <c r="P143" s="196"/>
    </row>
    <row r="144" spans="1:16" ht="12">
      <c r="A144" s="24"/>
      <c r="H144" s="17"/>
      <c r="I144" s="196"/>
      <c r="J144" s="196"/>
      <c r="K144" s="196"/>
      <c r="L144" s="196"/>
      <c r="M144" s="196"/>
      <c r="N144" s="196"/>
      <c r="O144" s="196"/>
      <c r="P144" s="196"/>
    </row>
    <row r="145" spans="1:16" ht="12">
      <c r="A145" s="24"/>
      <c r="H145" s="17"/>
      <c r="I145" s="196"/>
      <c r="J145" s="196"/>
      <c r="K145" s="196"/>
      <c r="L145" s="196"/>
      <c r="M145" s="196"/>
      <c r="N145" s="196"/>
      <c r="O145" s="196"/>
      <c r="P145" s="196"/>
    </row>
    <row r="146" spans="1:16" ht="12">
      <c r="A146" s="24"/>
      <c r="H146" s="17"/>
      <c r="I146" s="196"/>
      <c r="J146" s="196"/>
      <c r="K146" s="196"/>
      <c r="L146" s="196"/>
      <c r="M146" s="196"/>
      <c r="N146" s="196"/>
      <c r="O146" s="196"/>
      <c r="P146" s="196"/>
    </row>
    <row r="147" spans="1:16" ht="12">
      <c r="A147" s="24"/>
      <c r="H147" s="25"/>
      <c r="I147" s="203"/>
      <c r="J147" s="196"/>
      <c r="K147" s="203"/>
      <c r="L147" s="196"/>
      <c r="M147" s="203"/>
      <c r="N147" s="196"/>
      <c r="O147" s="203"/>
      <c r="P147" s="196"/>
    </row>
    <row r="148" spans="1:16" ht="12">
      <c r="A148" s="24"/>
      <c r="H148" s="17"/>
      <c r="I148" s="196"/>
      <c r="J148" s="196"/>
      <c r="K148" s="196"/>
      <c r="L148" s="196"/>
      <c r="M148" s="196"/>
      <c r="N148" s="196"/>
      <c r="O148" s="196"/>
      <c r="P148" s="196"/>
    </row>
    <row r="149" spans="8:16" ht="12">
      <c r="H149" s="17"/>
      <c r="I149" s="196"/>
      <c r="J149" s="196"/>
      <c r="K149" s="196"/>
      <c r="L149" s="196"/>
      <c r="M149" s="196"/>
      <c r="N149" s="196"/>
      <c r="O149" s="196"/>
      <c r="P149" s="196"/>
    </row>
    <row r="151" spans="1:2" ht="12">
      <c r="A151" s="24"/>
      <c r="B151" s="7"/>
    </row>
    <row r="152" spans="1:16" ht="12">
      <c r="A152" s="24"/>
      <c r="H152" s="17"/>
      <c r="I152" s="196"/>
      <c r="J152" s="196"/>
      <c r="K152" s="196"/>
      <c r="L152" s="196"/>
      <c r="M152" s="196"/>
      <c r="N152" s="196"/>
      <c r="O152" s="196"/>
      <c r="P152" s="196"/>
    </row>
    <row r="153" spans="1:16" ht="12">
      <c r="A153" s="24"/>
      <c r="H153" s="17"/>
      <c r="I153" s="196"/>
      <c r="J153" s="196"/>
      <c r="K153" s="196"/>
      <c r="L153" s="196"/>
      <c r="M153" s="196"/>
      <c r="N153" s="196"/>
      <c r="O153" s="196"/>
      <c r="P153" s="196"/>
    </row>
    <row r="154" spans="1:16" ht="12">
      <c r="A154" s="24"/>
      <c r="H154" s="17"/>
      <c r="I154" s="196"/>
      <c r="J154" s="196"/>
      <c r="K154" s="196"/>
      <c r="L154" s="196"/>
      <c r="M154" s="196"/>
      <c r="N154" s="196"/>
      <c r="O154" s="196"/>
      <c r="P154" s="196"/>
    </row>
    <row r="155" spans="8:16" ht="12">
      <c r="H155" s="12"/>
      <c r="I155" s="201"/>
      <c r="J155" s="201"/>
      <c r="K155" s="201"/>
      <c r="L155" s="201"/>
      <c r="M155" s="201"/>
      <c r="N155" s="201"/>
      <c r="O155" s="201"/>
      <c r="P155" s="201"/>
    </row>
    <row r="156" spans="8:16" ht="12">
      <c r="H156" s="12"/>
      <c r="I156" s="201"/>
      <c r="J156" s="201"/>
      <c r="K156" s="201"/>
      <c r="L156" s="201"/>
      <c r="M156" s="201"/>
      <c r="N156" s="201"/>
      <c r="O156" s="201"/>
      <c r="P156" s="201"/>
    </row>
    <row r="157" spans="1:16" ht="12">
      <c r="A157" s="24"/>
      <c r="B157" s="7"/>
      <c r="H157" s="12"/>
      <c r="I157" s="201"/>
      <c r="J157" s="201"/>
      <c r="K157" s="201"/>
      <c r="L157" s="201"/>
      <c r="M157" s="201"/>
      <c r="N157" s="201"/>
      <c r="O157" s="201"/>
      <c r="P157" s="201"/>
    </row>
    <row r="158" spans="1:16" ht="12">
      <c r="A158" s="24"/>
      <c r="B158" s="7"/>
      <c r="H158" s="12"/>
      <c r="I158" s="201"/>
      <c r="J158" s="201"/>
      <c r="K158" s="201"/>
      <c r="L158" s="201"/>
      <c r="M158" s="201"/>
      <c r="N158" s="201"/>
      <c r="O158" s="201"/>
      <c r="P158" s="201"/>
    </row>
    <row r="159" spans="1:16" ht="12">
      <c r="A159" s="24"/>
      <c r="B159" s="7"/>
      <c r="H159" s="12"/>
      <c r="I159" s="201"/>
      <c r="J159" s="201"/>
      <c r="K159" s="201"/>
      <c r="L159" s="201"/>
      <c r="M159" s="201"/>
      <c r="N159" s="201"/>
      <c r="O159" s="201"/>
      <c r="P159" s="201"/>
    </row>
    <row r="161" spans="2:16" ht="12">
      <c r="B161" s="7"/>
      <c r="H161" s="12"/>
      <c r="I161" s="201"/>
      <c r="J161" s="201"/>
      <c r="K161" s="201"/>
      <c r="L161" s="201"/>
      <c r="M161" s="201"/>
      <c r="N161" s="201"/>
      <c r="O161" s="201"/>
      <c r="P161" s="201"/>
    </row>
    <row r="162" spans="8:15" ht="12">
      <c r="H162" s="12"/>
      <c r="I162" s="201"/>
      <c r="K162" s="201"/>
      <c r="M162" s="201"/>
      <c r="O162" s="201"/>
    </row>
  </sheetData>
  <mergeCells count="9">
    <mergeCell ref="M5:N5"/>
    <mergeCell ref="M6:N6"/>
    <mergeCell ref="O5:P5"/>
    <mergeCell ref="O6:P6"/>
    <mergeCell ref="C6:D6"/>
    <mergeCell ref="I5:J5"/>
    <mergeCell ref="I6:J6"/>
    <mergeCell ref="K5:L5"/>
    <mergeCell ref="K6:L6"/>
  </mergeCells>
  <printOptions/>
  <pageMargins left="0.5" right="0.5" top="1" bottom="1" header="0.5" footer="0.5"/>
  <pageSetup fitToHeight="2" fitToWidth="1" horizontalDpi="1200" verticalDpi="1200" orientation="portrait" scale="56" r:id="rId1"/>
  <headerFooter alignWithMargins="0">
    <oddFooter>&amp;L&amp;"Braggadocio,Regular"CSP&amp;X2&amp;RPage &amp;P of &amp;N</oddFooter>
  </headerFooter>
  <rowBreaks count="1" manualBreakCount="1">
    <brk id="55" max="255" man="1"/>
  </rowBreaks>
  <ignoredErrors>
    <ignoredError sqref="H47:J47 M47:N4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9.140625" defaultRowHeight="12.75"/>
  <cols>
    <col min="1" max="1" width="9.140625" style="1" customWidth="1"/>
    <col min="2" max="2" width="7.57421875" style="1" customWidth="1"/>
    <col min="3" max="5" width="9.140625" style="1" customWidth="1"/>
    <col min="6" max="6" width="14.28125" style="1" customWidth="1"/>
    <col min="7" max="7" width="5.140625" style="1" customWidth="1"/>
    <col min="8" max="8" width="27.28125" style="1" customWidth="1"/>
    <col min="9" max="9" width="22.8515625" style="49" customWidth="1"/>
    <col min="10" max="10" width="22.8515625" style="339" customWidth="1"/>
    <col min="11" max="11" width="25.421875" style="339" customWidth="1"/>
    <col min="12" max="12" width="25.28125" style="339" customWidth="1"/>
    <col min="13" max="14" width="9.140625" style="1" customWidth="1"/>
    <col min="15" max="15" width="11.421875" style="1" customWidth="1"/>
    <col min="16" max="17" width="30.7109375" style="1" customWidth="1"/>
    <col min="18" max="16384" width="9.140625" style="1" customWidth="1"/>
  </cols>
  <sheetData>
    <row r="1" spans="1:18" ht="12">
      <c r="A1" s="106" t="s">
        <v>138</v>
      </c>
      <c r="B1" s="106"/>
      <c r="C1" s="106"/>
      <c r="D1" s="106"/>
      <c r="E1" s="106"/>
      <c r="F1" s="106"/>
      <c r="G1" s="106"/>
      <c r="H1" s="106"/>
      <c r="I1" s="115"/>
      <c r="J1" s="405"/>
      <c r="K1" s="405"/>
      <c r="L1" s="405"/>
      <c r="M1" s="115"/>
      <c r="N1" s="115"/>
      <c r="O1" s="115"/>
      <c r="P1" s="115"/>
      <c r="Q1" s="106"/>
      <c r="R1" s="2"/>
    </row>
    <row r="2" spans="1:18" ht="12">
      <c r="A2" s="7" t="s">
        <v>156</v>
      </c>
      <c r="B2" s="7"/>
      <c r="C2" s="7"/>
      <c r="D2" s="7"/>
      <c r="E2" s="7"/>
      <c r="F2" s="7"/>
      <c r="M2" s="46"/>
      <c r="N2" s="46"/>
      <c r="O2" s="36"/>
      <c r="P2" s="59"/>
      <c r="R2" s="3"/>
    </row>
    <row r="3" spans="13:18" ht="12">
      <c r="M3" s="36"/>
      <c r="N3" s="36"/>
      <c r="O3" s="36"/>
      <c r="P3" s="60"/>
      <c r="R3" s="4"/>
    </row>
    <row r="4" spans="13:17" ht="12">
      <c r="M4" s="36"/>
      <c r="N4" s="36"/>
      <c r="O4" s="36"/>
      <c r="P4" s="36"/>
      <c r="Q4" s="36"/>
    </row>
    <row r="5" spans="1:17" ht="27" customHeight="1">
      <c r="A5" s="23"/>
      <c r="B5" s="6"/>
      <c r="C5" s="6"/>
      <c r="D5" s="6"/>
      <c r="E5" s="6"/>
      <c r="F5" s="6"/>
      <c r="G5" s="6"/>
      <c r="H5" s="545" t="s">
        <v>420</v>
      </c>
      <c r="I5" s="517" t="s">
        <v>493</v>
      </c>
      <c r="J5" s="517" t="s">
        <v>500</v>
      </c>
      <c r="K5" s="547" t="s">
        <v>513</v>
      </c>
      <c r="L5" s="547" t="s">
        <v>514</v>
      </c>
      <c r="M5" s="126"/>
      <c r="N5" s="36"/>
      <c r="O5" s="36"/>
      <c r="P5" s="544"/>
      <c r="Q5" s="37"/>
    </row>
    <row r="6" spans="1:17" ht="12">
      <c r="A6" s="8" t="s">
        <v>1</v>
      </c>
      <c r="B6" s="9"/>
      <c r="C6" s="538" t="s">
        <v>0</v>
      </c>
      <c r="D6" s="538"/>
      <c r="E6" s="9"/>
      <c r="F6" s="9"/>
      <c r="G6" s="9"/>
      <c r="H6" s="546"/>
      <c r="I6" s="500"/>
      <c r="J6" s="500"/>
      <c r="K6" s="548"/>
      <c r="L6" s="548"/>
      <c r="M6" s="55"/>
      <c r="N6" s="46"/>
      <c r="O6" s="46"/>
      <c r="P6" s="544"/>
      <c r="Q6" s="38"/>
    </row>
    <row r="7" spans="1:17" ht="60">
      <c r="A7" s="10"/>
      <c r="H7" s="501"/>
      <c r="I7" s="204" t="s">
        <v>494</v>
      </c>
      <c r="J7" s="121" t="s">
        <v>151</v>
      </c>
      <c r="K7" s="121" t="s">
        <v>154</v>
      </c>
      <c r="L7" s="121" t="s">
        <v>155</v>
      </c>
      <c r="M7" s="36"/>
      <c r="N7" s="36"/>
      <c r="O7" s="36"/>
      <c r="P7" s="39"/>
      <c r="Q7" s="39"/>
    </row>
    <row r="8" spans="1:17" ht="12">
      <c r="A8" s="11">
        <v>1</v>
      </c>
      <c r="B8" s="128" t="s">
        <v>64</v>
      </c>
      <c r="C8" s="46"/>
      <c r="D8" s="46"/>
      <c r="E8" s="46"/>
      <c r="F8" s="46"/>
      <c r="G8" s="46"/>
      <c r="H8" s="123"/>
      <c r="I8" s="123"/>
      <c r="J8" s="406"/>
      <c r="K8" s="406"/>
      <c r="L8" s="406"/>
      <c r="M8" s="46"/>
      <c r="N8" s="46"/>
      <c r="O8" s="46"/>
      <c r="P8" s="38"/>
      <c r="Q8" s="38"/>
    </row>
    <row r="9" spans="1:17" ht="12">
      <c r="A9" s="10"/>
      <c r="C9" s="36"/>
      <c r="H9" s="67"/>
      <c r="I9" s="241"/>
      <c r="J9" s="242"/>
      <c r="K9" s="242"/>
      <c r="L9" s="242"/>
      <c r="M9" s="36"/>
      <c r="N9" s="36"/>
      <c r="O9" s="36"/>
      <c r="P9" s="38"/>
      <c r="Q9" s="38"/>
    </row>
    <row r="10" spans="1:17" ht="84">
      <c r="A10" s="11">
        <v>2</v>
      </c>
      <c r="B10" s="7" t="s">
        <v>65</v>
      </c>
      <c r="C10" s="7"/>
      <c r="D10" s="7"/>
      <c r="H10" s="502"/>
      <c r="I10" s="241"/>
      <c r="J10" s="121" t="s">
        <v>509</v>
      </c>
      <c r="K10" s="121" t="s">
        <v>532</v>
      </c>
      <c r="L10" s="121" t="s">
        <v>533</v>
      </c>
      <c r="M10" s="46"/>
      <c r="N10" s="36"/>
      <c r="O10" s="36"/>
      <c r="P10" s="38"/>
      <c r="Q10" s="38"/>
    </row>
    <row r="11" spans="1:17" ht="12">
      <c r="A11" s="11" t="s">
        <v>21</v>
      </c>
      <c r="B11" s="1" t="s">
        <v>66</v>
      </c>
      <c r="H11" s="67"/>
      <c r="I11" s="241"/>
      <c r="J11" s="242"/>
      <c r="K11" s="242"/>
      <c r="L11" s="242"/>
      <c r="M11" s="36"/>
      <c r="N11" s="36"/>
      <c r="O11" s="36"/>
      <c r="P11" s="38"/>
      <c r="Q11" s="38"/>
    </row>
    <row r="12" spans="1:17" ht="12">
      <c r="A12" s="11" t="s">
        <v>22</v>
      </c>
      <c r="B12" s="1" t="s">
        <v>67</v>
      </c>
      <c r="H12" s="67"/>
      <c r="I12" s="241"/>
      <c r="J12" s="242"/>
      <c r="K12" s="242"/>
      <c r="L12" s="242"/>
      <c r="M12" s="36"/>
      <c r="N12" s="36"/>
      <c r="O12" s="36"/>
      <c r="P12" s="38"/>
      <c r="Q12" s="38"/>
    </row>
    <row r="13" spans="1:17" ht="12">
      <c r="A13" s="11" t="s">
        <v>23</v>
      </c>
      <c r="B13" s="1" t="s">
        <v>68</v>
      </c>
      <c r="H13" s="67"/>
      <c r="I13" s="241"/>
      <c r="J13" s="242"/>
      <c r="K13" s="242"/>
      <c r="L13" s="242"/>
      <c r="M13" s="36"/>
      <c r="N13" s="36"/>
      <c r="O13" s="36"/>
      <c r="P13" s="38"/>
      <c r="Q13" s="38"/>
    </row>
    <row r="14" spans="1:17" ht="12">
      <c r="A14" s="11" t="s">
        <v>24</v>
      </c>
      <c r="B14" s="1" t="s">
        <v>69</v>
      </c>
      <c r="H14" s="67"/>
      <c r="I14" s="241"/>
      <c r="J14" s="242"/>
      <c r="K14" s="242"/>
      <c r="L14" s="242"/>
      <c r="M14" s="36"/>
      <c r="N14" s="36"/>
      <c r="O14" s="36"/>
      <c r="P14" s="38"/>
      <c r="Q14" s="38"/>
    </row>
    <row r="15" spans="1:17" ht="12.75" thickBot="1">
      <c r="A15" s="18" t="s">
        <v>25</v>
      </c>
      <c r="B15" s="19" t="s">
        <v>70</v>
      </c>
      <c r="C15" s="19"/>
      <c r="D15" s="19"/>
      <c r="E15" s="19"/>
      <c r="F15" s="19"/>
      <c r="G15" s="19"/>
      <c r="H15" s="503"/>
      <c r="I15" s="241"/>
      <c r="J15" s="242"/>
      <c r="K15" s="242"/>
      <c r="L15" s="242"/>
      <c r="M15" s="36"/>
      <c r="N15" s="36"/>
      <c r="O15" s="36"/>
      <c r="P15" s="38"/>
      <c r="Q15" s="38"/>
    </row>
    <row r="16" spans="1:17" ht="12.75" thickTop="1">
      <c r="A16" s="20"/>
      <c r="B16" s="14" t="s">
        <v>71</v>
      </c>
      <c r="C16" s="14"/>
      <c r="D16" s="14"/>
      <c r="E16" s="14"/>
      <c r="F16" s="16"/>
      <c r="G16" s="16"/>
      <c r="H16" s="504"/>
      <c r="I16" s="245"/>
      <c r="J16" s="389"/>
      <c r="K16" s="389"/>
      <c r="L16" s="389"/>
      <c r="M16" s="36"/>
      <c r="N16" s="36"/>
      <c r="O16" s="36"/>
      <c r="P16" s="38"/>
      <c r="Q16" s="38"/>
    </row>
    <row r="17" spans="1:17" ht="12">
      <c r="A17" s="11"/>
      <c r="H17" s="67"/>
      <c r="I17" s="241"/>
      <c r="J17" s="242"/>
      <c r="K17" s="242"/>
      <c r="L17" s="242"/>
      <c r="M17" s="36"/>
      <c r="N17" s="36"/>
      <c r="O17" s="36"/>
      <c r="P17" s="38"/>
      <c r="Q17" s="38"/>
    </row>
    <row r="18" spans="1:17" ht="12">
      <c r="A18" s="11">
        <v>3</v>
      </c>
      <c r="B18" s="7" t="s">
        <v>72</v>
      </c>
      <c r="C18" s="7"/>
      <c r="D18" s="7"/>
      <c r="E18" s="7"/>
      <c r="F18" s="7"/>
      <c r="H18" s="67"/>
      <c r="I18" s="241"/>
      <c r="J18" s="242"/>
      <c r="K18" s="242"/>
      <c r="L18" s="242"/>
      <c r="M18" s="46"/>
      <c r="N18" s="46"/>
      <c r="O18" s="36"/>
      <c r="P18" s="38"/>
      <c r="Q18" s="38"/>
    </row>
    <row r="19" spans="1:17" ht="12">
      <c r="A19" s="11" t="s">
        <v>27</v>
      </c>
      <c r="B19" s="1" t="s">
        <v>66</v>
      </c>
      <c r="H19" s="502"/>
      <c r="I19" s="241"/>
      <c r="J19" s="242"/>
      <c r="K19" s="407"/>
      <c r="L19" s="407"/>
      <c r="M19" s="36"/>
      <c r="N19" s="36"/>
      <c r="O19" s="36"/>
      <c r="P19" s="38"/>
      <c r="Q19" s="38"/>
    </row>
    <row r="20" spans="1:17" ht="12">
      <c r="A20" s="11" t="s">
        <v>28</v>
      </c>
      <c r="B20" s="1" t="s">
        <v>68</v>
      </c>
      <c r="H20" s="67"/>
      <c r="I20" s="241"/>
      <c r="J20" s="242"/>
      <c r="K20" s="407"/>
      <c r="L20" s="407"/>
      <c r="M20" s="36"/>
      <c r="N20" s="36"/>
      <c r="O20" s="36"/>
      <c r="P20" s="40"/>
      <c r="Q20" s="40"/>
    </row>
    <row r="21" spans="1:17" ht="12">
      <c r="A21" s="11" t="s">
        <v>29</v>
      </c>
      <c r="B21" s="1" t="s">
        <v>70</v>
      </c>
      <c r="H21" s="502"/>
      <c r="I21" s="241"/>
      <c r="J21" s="242"/>
      <c r="K21" s="407"/>
      <c r="L21" s="407"/>
      <c r="M21" s="36"/>
      <c r="N21" s="36"/>
      <c r="O21" s="36"/>
      <c r="P21" s="38"/>
      <c r="Q21" s="38"/>
    </row>
    <row r="22" spans="1:17" ht="12">
      <c r="A22" s="11" t="s">
        <v>73</v>
      </c>
      <c r="B22" s="1" t="s">
        <v>74</v>
      </c>
      <c r="H22" s="67"/>
      <c r="I22" s="241"/>
      <c r="J22" s="242"/>
      <c r="K22" s="407"/>
      <c r="L22" s="407"/>
      <c r="M22" s="36"/>
      <c r="N22" s="36"/>
      <c r="O22" s="36"/>
      <c r="P22" s="38"/>
      <c r="Q22" s="38"/>
    </row>
    <row r="23" spans="1:17" ht="12">
      <c r="A23" s="11" t="s">
        <v>75</v>
      </c>
      <c r="B23" s="1" t="s">
        <v>76</v>
      </c>
      <c r="H23" s="502"/>
      <c r="I23" s="241"/>
      <c r="J23" s="242"/>
      <c r="K23" s="407"/>
      <c r="L23" s="407"/>
      <c r="M23" s="36"/>
      <c r="N23" s="36"/>
      <c r="O23" s="36"/>
      <c r="P23" s="40"/>
      <c r="Q23" s="38"/>
    </row>
    <row r="24" spans="1:17" ht="12.75" thickBot="1">
      <c r="A24" s="11" t="s">
        <v>51</v>
      </c>
      <c r="B24" s="1" t="s">
        <v>77</v>
      </c>
      <c r="H24" s="67"/>
      <c r="I24" s="241"/>
      <c r="J24" s="242"/>
      <c r="K24" s="242"/>
      <c r="L24" s="242"/>
      <c r="M24" s="36"/>
      <c r="N24" s="36"/>
      <c r="O24" s="36"/>
      <c r="P24" s="38"/>
      <c r="Q24" s="38"/>
    </row>
    <row r="25" spans="1:17" ht="12.75" thickTop="1">
      <c r="A25" s="13"/>
      <c r="B25" s="14" t="s">
        <v>78</v>
      </c>
      <c r="C25" s="14"/>
      <c r="D25" s="14"/>
      <c r="E25" s="14"/>
      <c r="F25" s="14"/>
      <c r="G25" s="14"/>
      <c r="H25" s="505"/>
      <c r="I25" s="245"/>
      <c r="J25" s="389"/>
      <c r="K25" s="389"/>
      <c r="L25" s="389"/>
      <c r="M25" s="36"/>
      <c r="N25" s="36"/>
      <c r="O25" s="36"/>
      <c r="P25" s="38"/>
      <c r="Q25" s="38"/>
    </row>
    <row r="26" spans="1:17" ht="12">
      <c r="A26" s="11"/>
      <c r="H26" s="67"/>
      <c r="I26" s="241"/>
      <c r="J26" s="408"/>
      <c r="K26" s="408"/>
      <c r="L26" s="408"/>
      <c r="M26" s="36"/>
      <c r="N26" s="36"/>
      <c r="O26" s="36"/>
      <c r="P26" s="38"/>
      <c r="Q26" s="38"/>
    </row>
    <row r="27" spans="1:17" ht="12">
      <c r="A27" s="11">
        <v>4</v>
      </c>
      <c r="B27" s="7" t="s">
        <v>79</v>
      </c>
      <c r="C27" s="7"/>
      <c r="D27" s="7"/>
      <c r="E27" s="7"/>
      <c r="F27" s="7"/>
      <c r="G27" s="7"/>
      <c r="H27" s="123"/>
      <c r="I27" s="123"/>
      <c r="J27" s="409"/>
      <c r="K27" s="406"/>
      <c r="L27" s="406"/>
      <c r="M27" s="46"/>
      <c r="N27" s="46"/>
      <c r="O27" s="46"/>
      <c r="P27" s="36"/>
      <c r="Q27" s="36"/>
    </row>
    <row r="28" spans="1:17" ht="96">
      <c r="A28" s="11" t="s">
        <v>52</v>
      </c>
      <c r="B28" s="1" t="s">
        <v>80</v>
      </c>
      <c r="H28" s="502" t="s">
        <v>487</v>
      </c>
      <c r="I28" s="241"/>
      <c r="J28" s="502" t="s">
        <v>516</v>
      </c>
      <c r="K28" s="502" t="s">
        <v>517</v>
      </c>
      <c r="L28" s="502" t="s">
        <v>519</v>
      </c>
      <c r="M28" s="36"/>
      <c r="N28" s="36"/>
      <c r="O28" s="36"/>
      <c r="P28" s="38"/>
      <c r="Q28" s="40"/>
    </row>
    <row r="29" spans="1:17" ht="84">
      <c r="A29" s="11" t="s">
        <v>53</v>
      </c>
      <c r="B29" s="1" t="s">
        <v>81</v>
      </c>
      <c r="H29" s="502" t="s">
        <v>488</v>
      </c>
      <c r="I29" s="241"/>
      <c r="J29" s="508" t="s">
        <v>515</v>
      </c>
      <c r="K29" s="508" t="s">
        <v>518</v>
      </c>
      <c r="L29" s="508" t="s">
        <v>520</v>
      </c>
      <c r="M29" s="36"/>
      <c r="N29" s="36"/>
      <c r="O29" s="36"/>
      <c r="P29" s="38"/>
      <c r="Q29" s="40"/>
    </row>
    <row r="30" spans="1:17" ht="60">
      <c r="A30" s="11" t="s">
        <v>54</v>
      </c>
      <c r="B30" s="1" t="s">
        <v>82</v>
      </c>
      <c r="H30" s="502"/>
      <c r="I30" s="241"/>
      <c r="J30" s="507" t="s">
        <v>523</v>
      </c>
      <c r="K30" s="507" t="s">
        <v>522</v>
      </c>
      <c r="L30" s="507" t="s">
        <v>521</v>
      </c>
      <c r="M30" s="36"/>
      <c r="N30" s="36"/>
      <c r="O30" s="36"/>
      <c r="P30" s="38"/>
      <c r="Q30" s="40"/>
    </row>
    <row r="31" spans="1:17" ht="12">
      <c r="A31" s="11" t="s">
        <v>83</v>
      </c>
      <c r="C31" s="1" t="s">
        <v>2</v>
      </c>
      <c r="H31" s="67"/>
      <c r="I31" s="241"/>
      <c r="J31" s="242"/>
      <c r="K31" s="242"/>
      <c r="L31" s="242"/>
      <c r="M31" s="36"/>
      <c r="N31" s="36"/>
      <c r="O31" s="36"/>
      <c r="P31" s="38"/>
      <c r="Q31" s="40"/>
    </row>
    <row r="32" spans="1:17" ht="12">
      <c r="A32" s="11" t="s">
        <v>84</v>
      </c>
      <c r="C32" s="1" t="s">
        <v>3</v>
      </c>
      <c r="H32" s="67"/>
      <c r="I32" s="241"/>
      <c r="J32" s="242"/>
      <c r="K32" s="242"/>
      <c r="L32" s="242"/>
      <c r="M32" s="36"/>
      <c r="N32" s="36"/>
      <c r="O32" s="36"/>
      <c r="P32" s="40"/>
      <c r="Q32" s="12"/>
    </row>
    <row r="33" spans="1:17" ht="12.75" thickBot="1">
      <c r="A33" s="18" t="s">
        <v>85</v>
      </c>
      <c r="B33" s="19"/>
      <c r="C33" s="19" t="s">
        <v>86</v>
      </c>
      <c r="D33" s="19"/>
      <c r="E33" s="19"/>
      <c r="F33" s="19"/>
      <c r="G33" s="19"/>
      <c r="H33" s="503"/>
      <c r="I33" s="241"/>
      <c r="J33" s="242"/>
      <c r="K33" s="242"/>
      <c r="L33" s="242"/>
      <c r="M33" s="36"/>
      <c r="N33" s="36"/>
      <c r="O33" s="36"/>
      <c r="P33" s="40"/>
      <c r="Q33" s="12"/>
    </row>
    <row r="34" spans="1:17" ht="12.75" thickTop="1">
      <c r="A34" s="20"/>
      <c r="B34" s="14" t="s">
        <v>87</v>
      </c>
      <c r="C34" s="14"/>
      <c r="D34" s="14"/>
      <c r="E34" s="14"/>
      <c r="F34" s="14"/>
      <c r="G34" s="14"/>
      <c r="H34" s="504"/>
      <c r="I34" s="245"/>
      <c r="J34" s="389"/>
      <c r="K34" s="389"/>
      <c r="L34" s="389"/>
      <c r="M34" s="36"/>
      <c r="N34" s="36"/>
      <c r="O34" s="36"/>
      <c r="P34" s="40"/>
      <c r="Q34" s="12"/>
    </row>
    <row r="35" spans="1:17" ht="12">
      <c r="A35" s="11"/>
      <c r="H35" s="67"/>
      <c r="I35" s="241"/>
      <c r="J35" s="242"/>
      <c r="K35" s="242"/>
      <c r="L35" s="242"/>
      <c r="M35" s="36"/>
      <c r="N35" s="36"/>
      <c r="O35" s="36"/>
      <c r="P35" s="40"/>
      <c r="Q35" s="12"/>
    </row>
    <row r="36" spans="1:17" ht="12">
      <c r="A36" s="11">
        <v>5</v>
      </c>
      <c r="B36" s="21" t="s">
        <v>40</v>
      </c>
      <c r="C36" s="41"/>
      <c r="D36" s="36"/>
      <c r="E36" s="36"/>
      <c r="F36" s="36"/>
      <c r="G36" s="36"/>
      <c r="H36" s="121"/>
      <c r="I36" s="241"/>
      <c r="J36" s="460" t="s">
        <v>152</v>
      </c>
      <c r="K36" s="460" t="s">
        <v>152</v>
      </c>
      <c r="L36" s="460" t="s">
        <v>152</v>
      </c>
      <c r="M36" s="46"/>
      <c r="N36" s="46"/>
      <c r="O36" s="46"/>
      <c r="P36" s="40"/>
      <c r="Q36" s="12"/>
    </row>
    <row r="37" spans="1:17" ht="36">
      <c r="A37" s="11" t="s">
        <v>55</v>
      </c>
      <c r="B37" s="58" t="s">
        <v>116</v>
      </c>
      <c r="C37" s="42"/>
      <c r="D37" s="36"/>
      <c r="E37" s="36"/>
      <c r="F37" s="36"/>
      <c r="G37" s="137">
        <v>0.1</v>
      </c>
      <c r="H37" s="120" t="s">
        <v>483</v>
      </c>
      <c r="I37" s="460" t="s">
        <v>497</v>
      </c>
      <c r="J37" s="411"/>
      <c r="K37" s="461"/>
      <c r="L37" s="461"/>
      <c r="M37" s="36"/>
      <c r="N37" s="36"/>
      <c r="O37" s="36"/>
      <c r="P37" s="40"/>
      <c r="Q37" s="12"/>
    </row>
    <row r="38" spans="1:17" ht="36">
      <c r="A38" s="11" t="s">
        <v>56</v>
      </c>
      <c r="B38" s="32" t="s">
        <v>42</v>
      </c>
      <c r="C38" s="36"/>
      <c r="D38" s="36"/>
      <c r="E38" s="36"/>
      <c r="F38" s="36"/>
      <c r="G38" s="137"/>
      <c r="H38" s="120"/>
      <c r="I38" s="481" t="s">
        <v>501</v>
      </c>
      <c r="J38" s="411"/>
      <c r="K38" s="411"/>
      <c r="L38" s="411"/>
      <c r="M38" s="36"/>
      <c r="N38" s="36"/>
      <c r="O38" s="36"/>
      <c r="P38" s="40"/>
      <c r="Q38" s="12"/>
    </row>
    <row r="39" spans="1:17" ht="60">
      <c r="A39" s="11" t="s">
        <v>57</v>
      </c>
      <c r="B39" s="32" t="s">
        <v>43</v>
      </c>
      <c r="C39" s="36"/>
      <c r="D39" s="36"/>
      <c r="E39" s="36"/>
      <c r="F39" s="36"/>
      <c r="G39" s="86"/>
      <c r="H39" s="120"/>
      <c r="I39" s="460" t="s">
        <v>149</v>
      </c>
      <c r="J39" s="410"/>
      <c r="K39" s="410"/>
      <c r="L39" s="410"/>
      <c r="M39" s="36"/>
      <c r="N39" s="36"/>
      <c r="O39" s="36"/>
      <c r="P39" s="40"/>
      <c r="Q39" s="12"/>
    </row>
    <row r="40" spans="1:17" ht="60">
      <c r="A40" s="11" t="s">
        <v>58</v>
      </c>
      <c r="B40" s="32" t="s">
        <v>44</v>
      </c>
      <c r="C40" s="36"/>
      <c r="D40" s="36"/>
      <c r="E40" s="36"/>
      <c r="F40" s="36"/>
      <c r="G40" s="137">
        <v>0.05</v>
      </c>
      <c r="H40" s="120" t="s">
        <v>485</v>
      </c>
      <c r="I40" s="460" t="s">
        <v>495</v>
      </c>
      <c r="J40" s="410"/>
      <c r="K40" s="410"/>
      <c r="L40" s="410"/>
      <c r="M40" s="36"/>
      <c r="N40" s="36"/>
      <c r="O40" s="36"/>
      <c r="P40" s="40"/>
      <c r="Q40" s="12"/>
    </row>
    <row r="41" spans="1:16" ht="39" customHeight="1">
      <c r="A41" s="11" t="s">
        <v>108</v>
      </c>
      <c r="B41" s="32" t="s">
        <v>45</v>
      </c>
      <c r="C41" s="36"/>
      <c r="D41" s="36"/>
      <c r="E41" s="36"/>
      <c r="F41" s="36"/>
      <c r="G41" s="137"/>
      <c r="H41" s="120"/>
      <c r="I41" s="460" t="s">
        <v>150</v>
      </c>
      <c r="J41" s="410"/>
      <c r="K41" s="410"/>
      <c r="L41" s="410"/>
      <c r="M41" s="36"/>
      <c r="N41" s="36"/>
      <c r="O41" s="36"/>
      <c r="P41" s="36"/>
    </row>
    <row r="42" spans="1:17" ht="12">
      <c r="A42" s="11" t="s">
        <v>109</v>
      </c>
      <c r="B42" s="32" t="s">
        <v>46</v>
      </c>
      <c r="C42" s="36"/>
      <c r="D42" s="36"/>
      <c r="E42" s="36"/>
      <c r="F42" s="36"/>
      <c r="G42" s="137"/>
      <c r="H42" s="121"/>
      <c r="I42" s="461" t="s">
        <v>498</v>
      </c>
      <c r="J42" s="411"/>
      <c r="K42" s="411"/>
      <c r="L42" s="411"/>
      <c r="M42" s="36"/>
      <c r="N42" s="36"/>
      <c r="O42" s="36"/>
      <c r="P42" s="36"/>
      <c r="Q42" s="12"/>
    </row>
    <row r="43" spans="1:16" ht="24">
      <c r="A43" s="11" t="s">
        <v>110</v>
      </c>
      <c r="B43" s="32" t="s">
        <v>117</v>
      </c>
      <c r="C43" s="36"/>
      <c r="D43" s="36"/>
      <c r="E43" s="36"/>
      <c r="F43" s="36"/>
      <c r="G43" s="137">
        <v>0.1</v>
      </c>
      <c r="H43" s="121" t="s">
        <v>486</v>
      </c>
      <c r="I43" s="461">
        <v>0.1</v>
      </c>
      <c r="J43" s="411"/>
      <c r="K43" s="411"/>
      <c r="L43" s="411"/>
      <c r="M43" s="36"/>
      <c r="N43" s="36"/>
      <c r="O43" s="36"/>
      <c r="P43" s="40"/>
    </row>
    <row r="44" spans="1:17" ht="24">
      <c r="A44" s="11" t="s">
        <v>111</v>
      </c>
      <c r="B44" s="32" t="s">
        <v>136</v>
      </c>
      <c r="C44" s="36"/>
      <c r="D44" s="36"/>
      <c r="E44" s="36"/>
      <c r="F44" s="36"/>
      <c r="G44" s="57"/>
      <c r="H44" s="121"/>
      <c r="I44" s="460" t="s">
        <v>496</v>
      </c>
      <c r="J44" s="411"/>
      <c r="K44" s="411"/>
      <c r="L44" s="411"/>
      <c r="M44" s="36"/>
      <c r="N44" s="36"/>
      <c r="O44" s="36"/>
      <c r="P44" s="36"/>
      <c r="Q44" s="12"/>
    </row>
    <row r="45" spans="1:17" ht="12.75" thickBot="1">
      <c r="A45" s="11"/>
      <c r="B45" s="36"/>
      <c r="C45" s="36"/>
      <c r="D45" s="36"/>
      <c r="E45" s="36"/>
      <c r="F45" s="36"/>
      <c r="G45" s="36"/>
      <c r="H45" s="67"/>
      <c r="I45" s="241"/>
      <c r="J45" s="242"/>
      <c r="K45" s="242"/>
      <c r="L45" s="242"/>
      <c r="M45" s="36"/>
      <c r="N45" s="36"/>
      <c r="O45" s="36"/>
      <c r="P45" s="40"/>
      <c r="Q45" s="12"/>
    </row>
    <row r="46" spans="1:17" ht="12.75" thickTop="1">
      <c r="A46" s="114"/>
      <c r="B46" s="14" t="s">
        <v>48</v>
      </c>
      <c r="C46" s="14"/>
      <c r="D46" s="14"/>
      <c r="E46" s="14"/>
      <c r="F46" s="14"/>
      <c r="G46" s="14"/>
      <c r="H46" s="505"/>
      <c r="I46" s="245"/>
      <c r="J46" s="389"/>
      <c r="K46" s="389"/>
      <c r="L46" s="389"/>
      <c r="M46" s="36"/>
      <c r="N46" s="36"/>
      <c r="O46" s="36"/>
      <c r="P46" s="40"/>
      <c r="Q46" s="12"/>
    </row>
    <row r="47" spans="1:17" ht="12">
      <c r="A47" s="20"/>
      <c r="B47" s="16"/>
      <c r="C47" s="16"/>
      <c r="D47" s="16"/>
      <c r="E47" s="16"/>
      <c r="F47" s="16"/>
      <c r="G47" s="16"/>
      <c r="H47" s="506"/>
      <c r="I47" s="438"/>
      <c r="J47" s="412"/>
      <c r="K47" s="412"/>
      <c r="L47" s="412"/>
      <c r="P47" s="12"/>
      <c r="Q47" s="12"/>
    </row>
    <row r="48" spans="1:17" ht="12">
      <c r="A48" s="11">
        <v>6</v>
      </c>
      <c r="B48" s="7" t="s">
        <v>88</v>
      </c>
      <c r="C48" s="7"/>
      <c r="D48" s="7"/>
      <c r="E48" s="7"/>
      <c r="F48" s="7"/>
      <c r="G48" s="7"/>
      <c r="H48" s="123"/>
      <c r="I48" s="123"/>
      <c r="J48" s="406"/>
      <c r="K48" s="410"/>
      <c r="L48" s="410"/>
      <c r="P48" s="12"/>
      <c r="Q48" s="12"/>
    </row>
    <row r="49" spans="1:16" ht="48">
      <c r="A49" s="11"/>
      <c r="B49" s="1" t="s">
        <v>89</v>
      </c>
      <c r="H49" s="67"/>
      <c r="I49" s="241"/>
      <c r="J49" s="243"/>
      <c r="K49" s="121" t="s">
        <v>508</v>
      </c>
      <c r="L49" s="121" t="s">
        <v>508</v>
      </c>
      <c r="P49" s="12"/>
    </row>
    <row r="50" spans="1:17" ht="48">
      <c r="A50" s="11"/>
      <c r="B50" s="1" t="s">
        <v>90</v>
      </c>
      <c r="H50" s="67"/>
      <c r="I50" s="241"/>
      <c r="J50" s="242"/>
      <c r="K50" s="121" t="s">
        <v>508</v>
      </c>
      <c r="L50" s="121" t="s">
        <v>508</v>
      </c>
      <c r="Q50" s="12"/>
    </row>
    <row r="51" spans="1:17" ht="48">
      <c r="A51" s="11"/>
      <c r="B51" s="1" t="s">
        <v>91</v>
      </c>
      <c r="H51" s="67"/>
      <c r="I51" s="241"/>
      <c r="J51" s="242"/>
      <c r="K51" s="121" t="s">
        <v>508</v>
      </c>
      <c r="L51" s="121" t="s">
        <v>508</v>
      </c>
      <c r="P51" s="12"/>
      <c r="Q51" s="12"/>
    </row>
    <row r="52" spans="1:16" ht="48">
      <c r="A52" s="11"/>
      <c r="B52" s="1" t="s">
        <v>92</v>
      </c>
      <c r="H52" s="67"/>
      <c r="I52" s="241"/>
      <c r="J52" s="242"/>
      <c r="K52" s="121" t="s">
        <v>508</v>
      </c>
      <c r="L52" s="121" t="s">
        <v>508</v>
      </c>
      <c r="P52" s="12"/>
    </row>
    <row r="53" spans="1:12" ht="12.75" thickBot="1">
      <c r="A53" s="11"/>
      <c r="B53" s="36"/>
      <c r="C53" s="36"/>
      <c r="D53" s="36"/>
      <c r="E53" s="36"/>
      <c r="F53" s="36"/>
      <c r="G53" s="36"/>
      <c r="H53" s="503"/>
      <c r="I53" s="241"/>
      <c r="J53" s="242"/>
      <c r="K53" s="242"/>
      <c r="L53" s="242"/>
    </row>
    <row r="54" spans="1:17" ht="12.75" thickTop="1">
      <c r="A54" s="44" t="s">
        <v>112</v>
      </c>
      <c r="B54" s="14"/>
      <c r="C54" s="14"/>
      <c r="D54" s="14"/>
      <c r="E54" s="14"/>
      <c r="F54" s="14"/>
      <c r="G54" s="14"/>
      <c r="H54" s="504"/>
      <c r="I54" s="245"/>
      <c r="J54" s="389"/>
      <c r="K54" s="389"/>
      <c r="L54" s="389"/>
      <c r="Q54" s="12"/>
    </row>
    <row r="55" spans="1:17" ht="12">
      <c r="A55" s="24"/>
      <c r="P55" s="12"/>
      <c r="Q55" s="12"/>
    </row>
    <row r="56" spans="1:17" ht="12">
      <c r="A56" s="45"/>
      <c r="B56" s="46"/>
      <c r="C56" s="46"/>
      <c r="D56" s="46"/>
      <c r="E56" s="46"/>
      <c r="F56" s="46"/>
      <c r="G56" s="46"/>
      <c r="H56" s="46"/>
      <c r="I56" s="46"/>
      <c r="J56" s="413"/>
      <c r="K56" s="413"/>
      <c r="L56" s="413"/>
      <c r="P56" s="12"/>
      <c r="Q56" s="12"/>
    </row>
    <row r="57" spans="1:17" ht="12">
      <c r="A57" s="45"/>
      <c r="B57" s="36"/>
      <c r="C57" s="36"/>
      <c r="D57" s="36"/>
      <c r="E57" s="36"/>
      <c r="F57" s="36"/>
      <c r="G57" s="36"/>
      <c r="H57" s="36"/>
      <c r="P57" s="12"/>
      <c r="Q57" s="12"/>
    </row>
    <row r="58" spans="1:17" ht="12">
      <c r="A58" s="45"/>
      <c r="B58" s="36"/>
      <c r="C58" s="36"/>
      <c r="D58" s="36"/>
      <c r="E58" s="36"/>
      <c r="F58" s="36"/>
      <c r="G58" s="36"/>
      <c r="H58" s="36"/>
      <c r="P58" s="12"/>
      <c r="Q58" s="12"/>
    </row>
    <row r="59" spans="1:16" ht="12">
      <c r="A59" s="45"/>
      <c r="B59" s="36"/>
      <c r="C59" s="36"/>
      <c r="D59" s="36"/>
      <c r="E59" s="36"/>
      <c r="F59" s="36"/>
      <c r="G59" s="36"/>
      <c r="H59" s="36"/>
      <c r="P59" s="12"/>
    </row>
    <row r="60" spans="1:17" ht="12">
      <c r="A60" s="45"/>
      <c r="B60" s="36"/>
      <c r="C60" s="36"/>
      <c r="D60" s="36"/>
      <c r="E60" s="36"/>
      <c r="F60" s="36"/>
      <c r="G60" s="36"/>
      <c r="H60" s="36"/>
      <c r="Q60" s="12"/>
    </row>
    <row r="61" spans="1:17" ht="12">
      <c r="A61" s="45"/>
      <c r="B61" s="36"/>
      <c r="C61" s="36"/>
      <c r="D61" s="36"/>
      <c r="E61" s="36"/>
      <c r="F61" s="36"/>
      <c r="G61" s="36"/>
      <c r="H61" s="36"/>
      <c r="P61" s="12"/>
      <c r="Q61" s="12"/>
    </row>
    <row r="62" spans="1:17" ht="12">
      <c r="A62" s="45"/>
      <c r="B62" s="36"/>
      <c r="C62" s="36"/>
      <c r="D62" s="36"/>
      <c r="E62" s="36"/>
      <c r="F62" s="36"/>
      <c r="G62" s="36"/>
      <c r="H62" s="36"/>
      <c r="P62" s="12"/>
      <c r="Q62" s="12"/>
    </row>
    <row r="63" spans="1:17" ht="12">
      <c r="A63" s="24"/>
      <c r="P63" s="12"/>
      <c r="Q63" s="12"/>
    </row>
    <row r="64" spans="1:17" ht="12">
      <c r="A64" s="24"/>
      <c r="P64" s="12"/>
      <c r="Q64" s="12"/>
    </row>
    <row r="65" ht="12">
      <c r="A65" s="24"/>
    </row>
    <row r="66" ht="12">
      <c r="A66" s="24"/>
    </row>
    <row r="67" spans="1:17" ht="12">
      <c r="A67" s="24"/>
      <c r="P67" s="12"/>
      <c r="Q67" s="12"/>
    </row>
    <row r="68" spans="1:17" ht="12">
      <c r="A68" s="24"/>
      <c r="P68" s="12"/>
      <c r="Q68" s="12"/>
    </row>
    <row r="69" spans="1:17" ht="12">
      <c r="A69" s="24"/>
      <c r="B69" s="7"/>
      <c r="P69" s="12"/>
      <c r="Q69" s="12"/>
    </row>
    <row r="70" spans="1:17" ht="12">
      <c r="A70" s="24"/>
      <c r="P70" s="12"/>
      <c r="Q70" s="12"/>
    </row>
    <row r="71" spans="1:17" ht="12">
      <c r="A71" s="24"/>
      <c r="B71" s="7"/>
      <c r="P71" s="12"/>
      <c r="Q71" s="12"/>
    </row>
    <row r="72" spans="1:17" ht="12">
      <c r="A72" s="24"/>
      <c r="P72" s="12"/>
      <c r="Q72" s="12"/>
    </row>
    <row r="73" spans="1:17" ht="12">
      <c r="A73" s="24"/>
      <c r="P73" s="12"/>
      <c r="Q73" s="12"/>
    </row>
    <row r="74" ht="12">
      <c r="A74" s="24"/>
    </row>
    <row r="75" ht="12">
      <c r="A75" s="24"/>
    </row>
    <row r="76" spans="1:17" ht="12">
      <c r="A76" s="24"/>
      <c r="P76" s="12"/>
      <c r="Q76" s="12"/>
    </row>
    <row r="77" spans="1:17" ht="12">
      <c r="A77" s="24"/>
      <c r="P77" s="12"/>
      <c r="Q77" s="12"/>
    </row>
    <row r="78" spans="1:17" ht="12">
      <c r="A78" s="24"/>
      <c r="P78" s="12"/>
      <c r="Q78" s="12"/>
    </row>
    <row r="79" spans="1:17" ht="12">
      <c r="A79" s="24"/>
      <c r="P79" s="12"/>
      <c r="Q79" s="12"/>
    </row>
    <row r="80" spans="1:17" ht="12">
      <c r="A80" s="24"/>
      <c r="P80" s="12"/>
      <c r="Q80" s="12"/>
    </row>
    <row r="81" spans="1:17" ht="12">
      <c r="A81" s="24"/>
      <c r="P81" s="12"/>
      <c r="Q81" s="12"/>
    </row>
    <row r="82" spans="1:17" ht="12">
      <c r="A82" s="24"/>
      <c r="P82" s="17"/>
      <c r="Q82" s="17"/>
    </row>
    <row r="83" spans="1:17" ht="12">
      <c r="A83" s="24"/>
      <c r="P83" s="17"/>
      <c r="Q83" s="17"/>
    </row>
    <row r="84" spans="1:17" ht="12">
      <c r="A84" s="24"/>
      <c r="P84" s="17"/>
      <c r="Q84" s="17"/>
    </row>
    <row r="85" spans="1:17" ht="12">
      <c r="A85" s="24"/>
      <c r="P85" s="17"/>
      <c r="Q85" s="17"/>
    </row>
    <row r="86" spans="1:17" ht="12">
      <c r="A86" s="24"/>
      <c r="P86" s="17"/>
      <c r="Q86" s="17"/>
    </row>
    <row r="87" spans="1:17" ht="12">
      <c r="A87" s="24"/>
      <c r="P87" s="17"/>
      <c r="Q87" s="17"/>
    </row>
    <row r="88" spans="1:17" ht="12">
      <c r="A88" s="24"/>
      <c r="P88" s="17"/>
      <c r="Q88" s="17"/>
    </row>
    <row r="89" spans="1:17" ht="12">
      <c r="A89" s="24"/>
      <c r="P89" s="17"/>
      <c r="Q89" s="17"/>
    </row>
    <row r="90" spans="1:17" ht="12">
      <c r="A90" s="24"/>
      <c r="P90" s="17"/>
      <c r="Q90" s="17"/>
    </row>
    <row r="91" spans="1:17" ht="12">
      <c r="A91" s="24"/>
      <c r="P91" s="17"/>
      <c r="Q91" s="17"/>
    </row>
    <row r="92" spans="1:17" ht="12">
      <c r="A92" s="24"/>
      <c r="P92" s="17"/>
      <c r="Q92" s="17"/>
    </row>
    <row r="93" spans="1:17" ht="12">
      <c r="A93" s="24"/>
      <c r="P93" s="17"/>
      <c r="Q93" s="17"/>
    </row>
    <row r="94" spans="1:17" ht="12">
      <c r="A94" s="24"/>
      <c r="P94" s="17"/>
      <c r="Q94" s="17"/>
    </row>
    <row r="95" ht="12">
      <c r="A95" s="24"/>
    </row>
    <row r="96" spans="1:17" ht="12">
      <c r="A96" s="24"/>
      <c r="B96" s="7"/>
      <c r="P96" s="17"/>
      <c r="Q96" s="17"/>
    </row>
    <row r="97" spans="1:17" ht="12">
      <c r="A97" s="24"/>
      <c r="B97" s="21"/>
      <c r="P97" s="17"/>
      <c r="Q97" s="17"/>
    </row>
    <row r="98" spans="1:17" ht="12">
      <c r="A98" s="24"/>
      <c r="P98" s="17"/>
      <c r="Q98" s="17"/>
    </row>
    <row r="99" spans="1:17" ht="12">
      <c r="A99" s="24"/>
      <c r="P99" s="17"/>
      <c r="Q99" s="17"/>
    </row>
    <row r="100" spans="1:17" ht="12">
      <c r="A100" s="24"/>
      <c r="P100" s="17"/>
      <c r="Q100" s="17"/>
    </row>
    <row r="101" spans="1:17" ht="12">
      <c r="A101" s="24"/>
      <c r="P101" s="17"/>
      <c r="Q101" s="17"/>
    </row>
    <row r="102" spans="1:17" ht="12">
      <c r="A102" s="24"/>
      <c r="P102" s="25"/>
      <c r="Q102" s="17"/>
    </row>
    <row r="103" spans="1:17" ht="12">
      <c r="A103" s="24"/>
      <c r="P103" s="17"/>
      <c r="Q103" s="17"/>
    </row>
    <row r="104" spans="1:17" ht="12">
      <c r="A104" s="24"/>
      <c r="P104" s="17"/>
      <c r="Q104" s="17"/>
    </row>
    <row r="105" ht="12">
      <c r="A105" s="24"/>
    </row>
    <row r="106" ht="12">
      <c r="A106" s="24"/>
    </row>
    <row r="107" spans="1:17" ht="12">
      <c r="A107" s="24"/>
      <c r="P107" s="17"/>
      <c r="Q107" s="17"/>
    </row>
    <row r="108" spans="1:17" ht="12">
      <c r="A108" s="24"/>
      <c r="P108" s="17"/>
      <c r="Q108" s="17"/>
    </row>
    <row r="109" spans="1:17" ht="12">
      <c r="A109" s="24"/>
      <c r="P109" s="17"/>
      <c r="Q109" s="17"/>
    </row>
    <row r="110" spans="1:17" ht="12">
      <c r="A110" s="24"/>
      <c r="P110" s="12"/>
      <c r="Q110" s="12"/>
    </row>
    <row r="111" spans="1:17" ht="12">
      <c r="A111" s="24"/>
      <c r="P111" s="12"/>
      <c r="Q111" s="12"/>
    </row>
    <row r="112" spans="1:17" ht="12">
      <c r="A112" s="24"/>
      <c r="P112" s="12"/>
      <c r="Q112" s="12"/>
    </row>
    <row r="113" spans="1:17" ht="12">
      <c r="A113" s="24"/>
      <c r="P113" s="12"/>
      <c r="Q113" s="12"/>
    </row>
    <row r="114" spans="1:17" ht="12">
      <c r="A114" s="24"/>
      <c r="P114" s="12"/>
      <c r="Q114" s="12"/>
    </row>
    <row r="115" spans="1:2" ht="12">
      <c r="A115" s="24"/>
      <c r="B115" s="7"/>
    </row>
    <row r="116" spans="1:17" ht="12">
      <c r="A116" s="24"/>
      <c r="P116" s="12"/>
      <c r="Q116" s="12"/>
    </row>
    <row r="117" spans="1:16" ht="12">
      <c r="A117" s="24"/>
      <c r="P117" s="12"/>
    </row>
    <row r="118" ht="12">
      <c r="A118" s="24"/>
    </row>
    <row r="119" ht="12">
      <c r="A119" s="24"/>
    </row>
    <row r="120" ht="12">
      <c r="A120" s="24"/>
    </row>
    <row r="121" ht="12">
      <c r="A121" s="24"/>
    </row>
    <row r="122" ht="12">
      <c r="A122" s="24"/>
    </row>
    <row r="123" ht="12">
      <c r="A123" s="24"/>
    </row>
    <row r="124" spans="1:2" ht="12">
      <c r="A124" s="24"/>
      <c r="B124" s="7"/>
    </row>
    <row r="125" ht="12">
      <c r="A125" s="24"/>
    </row>
    <row r="126" spans="1:2" ht="12">
      <c r="A126" s="24"/>
      <c r="B126" s="21"/>
    </row>
    <row r="127" ht="12">
      <c r="A127" s="24"/>
    </row>
    <row r="128" ht="12">
      <c r="A128" s="24"/>
    </row>
    <row r="129" ht="12">
      <c r="A129" s="24"/>
    </row>
    <row r="130" ht="12">
      <c r="A130" s="24"/>
    </row>
    <row r="131" ht="12">
      <c r="A131" s="24"/>
    </row>
    <row r="132" ht="12">
      <c r="A132" s="24"/>
    </row>
    <row r="133" ht="12">
      <c r="A133" s="24"/>
    </row>
    <row r="134" ht="12">
      <c r="A134" s="24"/>
    </row>
    <row r="137" spans="1:2" ht="12">
      <c r="A137" s="24"/>
      <c r="B137" s="7"/>
    </row>
    <row r="138" ht="12">
      <c r="A138" s="24"/>
    </row>
    <row r="139" ht="12">
      <c r="A139" s="24"/>
    </row>
    <row r="140" ht="12">
      <c r="A140" s="24"/>
    </row>
    <row r="143" spans="1:2" ht="12">
      <c r="A143" s="24"/>
      <c r="B143" s="7"/>
    </row>
    <row r="144" spans="1:2" ht="12">
      <c r="A144" s="24"/>
      <c r="B144" s="7"/>
    </row>
    <row r="145" spans="1:2" ht="12">
      <c r="A145" s="24"/>
      <c r="B145" s="7"/>
    </row>
    <row r="147" ht="12">
      <c r="B147" s="7"/>
    </row>
  </sheetData>
  <mergeCells count="7">
    <mergeCell ref="P5:P6"/>
    <mergeCell ref="C6:D6"/>
    <mergeCell ref="H5:H6"/>
    <mergeCell ref="I5:I6"/>
    <mergeCell ref="J5:J6"/>
    <mergeCell ref="K5:K6"/>
    <mergeCell ref="L5:L6"/>
  </mergeCells>
  <printOptions/>
  <pageMargins left="0.5" right="0.5" top="1" bottom="1" header="0.5" footer="0.5"/>
  <pageSetup fitToHeight="1" fitToWidth="1" horizontalDpi="1200" verticalDpi="1200" orientation="portrait" scale="49" r:id="rId1"/>
  <headerFooter alignWithMargins="0">
    <oddFooter>&amp;L&amp;"Braggadocio,Regular"CSP&amp;X2&amp;RPage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5"/>
  <sheetViews>
    <sheetView zoomScale="75" zoomScaleNormal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3" sqref="B3:K3"/>
    </sheetView>
  </sheetViews>
  <sheetFormatPr defaultColWidth="9.140625" defaultRowHeight="12.75"/>
  <cols>
    <col min="1" max="1" width="15.421875" style="147" customWidth="1"/>
    <col min="2" max="4" width="11.7109375" style="147" customWidth="1"/>
    <col min="5" max="6" width="12.7109375" style="147" customWidth="1"/>
    <col min="7" max="7" width="11.7109375" style="147" bestFit="1" customWidth="1"/>
    <col min="8" max="10" width="11.7109375" style="147" customWidth="1"/>
    <col min="11" max="11" width="14.28125" style="147" customWidth="1"/>
    <col min="12" max="13" width="12.7109375" style="147" bestFit="1" customWidth="1"/>
    <col min="14" max="156" width="11.00390625" style="147" bestFit="1" customWidth="1"/>
    <col min="157" max="157" width="12.00390625" style="147" bestFit="1" customWidth="1"/>
    <col min="158" max="16384" width="8.00390625" style="147" customWidth="1"/>
  </cols>
  <sheetData>
    <row r="1" spans="1:11" ht="12">
      <c r="A1" s="144"/>
      <c r="B1" s="145" t="s">
        <v>490</v>
      </c>
      <c r="C1" s="145"/>
      <c r="D1" s="145"/>
      <c r="E1" s="146"/>
      <c r="F1" s="146"/>
      <c r="G1" s="146"/>
      <c r="H1" s="146"/>
      <c r="I1" s="146"/>
      <c r="J1" s="146"/>
      <c r="K1" s="146"/>
    </row>
    <row r="2" spans="2:11" ht="12">
      <c r="B2" s="145" t="s">
        <v>531</v>
      </c>
      <c r="C2" s="145"/>
      <c r="D2" s="145"/>
      <c r="E2" s="146"/>
      <c r="F2" s="146"/>
      <c r="G2" s="146"/>
      <c r="H2" s="146"/>
      <c r="I2" s="146"/>
      <c r="J2" s="146"/>
      <c r="K2" s="146"/>
    </row>
    <row r="3" spans="2:11" ht="12">
      <c r="B3" s="549" t="s">
        <v>492</v>
      </c>
      <c r="C3" s="549"/>
      <c r="D3" s="549"/>
      <c r="E3" s="550"/>
      <c r="F3" s="550"/>
      <c r="G3" s="550"/>
      <c r="H3" s="550"/>
      <c r="I3" s="550"/>
      <c r="J3" s="550"/>
      <c r="K3" s="550"/>
    </row>
    <row r="4" spans="2:11" ht="12">
      <c r="B4" s="145"/>
      <c r="C4" s="145"/>
      <c r="D4" s="145"/>
      <c r="E4" s="146"/>
      <c r="F4" s="146"/>
      <c r="G4" s="146"/>
      <c r="H4" s="146"/>
      <c r="I4" s="146"/>
      <c r="J4" s="146"/>
      <c r="K4" s="146"/>
    </row>
    <row r="6" spans="1:13" ht="12">
      <c r="A6" s="551" t="s">
        <v>95</v>
      </c>
      <c r="B6" s="553" t="s">
        <v>118</v>
      </c>
      <c r="C6" s="553"/>
      <c r="D6" s="553"/>
      <c r="E6" s="553"/>
      <c r="F6" s="553"/>
      <c r="G6" s="553"/>
      <c r="H6" s="554"/>
      <c r="I6" s="554"/>
      <c r="J6" s="554"/>
      <c r="K6" s="555" t="s">
        <v>98</v>
      </c>
      <c r="L6" s="148" t="s">
        <v>119</v>
      </c>
      <c r="M6" s="149" t="s">
        <v>120</v>
      </c>
    </row>
    <row r="7" spans="1:13" ht="12.75">
      <c r="A7" s="552"/>
      <c r="B7" s="558" t="s">
        <v>93</v>
      </c>
      <c r="C7" s="559"/>
      <c r="D7" s="559"/>
      <c r="E7" s="559"/>
      <c r="F7" s="559"/>
      <c r="G7" s="560"/>
      <c r="H7" s="561" t="s">
        <v>94</v>
      </c>
      <c r="I7" s="562"/>
      <c r="J7" s="563"/>
      <c r="K7" s="556"/>
      <c r="L7" s="150" t="s">
        <v>121</v>
      </c>
      <c r="M7" s="151" t="s">
        <v>122</v>
      </c>
    </row>
    <row r="8" spans="1:13" ht="36">
      <c r="A8" s="552"/>
      <c r="B8" s="158" t="s">
        <v>135</v>
      </c>
      <c r="C8" s="159" t="s">
        <v>491</v>
      </c>
      <c r="D8" s="159" t="s">
        <v>142</v>
      </c>
      <c r="E8" s="160" t="s">
        <v>126</v>
      </c>
      <c r="F8" s="158" t="s">
        <v>31</v>
      </c>
      <c r="G8" s="158" t="s">
        <v>96</v>
      </c>
      <c r="H8" s="159" t="s">
        <v>123</v>
      </c>
      <c r="I8" s="158" t="s">
        <v>124</v>
      </c>
      <c r="J8" s="158" t="s">
        <v>125</v>
      </c>
      <c r="K8" s="557"/>
      <c r="L8" s="161">
        <v>0.03</v>
      </c>
      <c r="M8" s="162">
        <v>0.05</v>
      </c>
    </row>
    <row r="9" spans="1:13" ht="12">
      <c r="A9" s="165">
        <v>0</v>
      </c>
      <c r="B9" s="166">
        <f>'Capital Cost Estimate'!$K$423/2</f>
        <v>200617.2650741114</v>
      </c>
      <c r="C9" s="166">
        <f>'Capital Cost Estimate'!$K$428/2</f>
        <v>56542.59670456181</v>
      </c>
      <c r="D9" s="166">
        <f>'Capital Cost Estimate'!$K$433</f>
        <v>136242.62483810622</v>
      </c>
      <c r="E9" s="166">
        <f>'Capital Cost Estimate'!$K$449/2</f>
        <v>763940.4634479781</v>
      </c>
      <c r="F9" s="166">
        <f>'Capital Cost Estimate'!$K$454</f>
        <v>0</v>
      </c>
      <c r="G9" s="166">
        <f>'Capital Cost Estimate'!$K$456/2</f>
        <v>122618.36235429559</v>
      </c>
      <c r="H9" s="166"/>
      <c r="I9" s="166"/>
      <c r="J9" s="166">
        <f>('Operating Cost Estimate'!$H$64/15)+('Operating Cost Estimate'!$H$65/5)</f>
        <v>86125</v>
      </c>
      <c r="K9" s="167">
        <f aca="true" t="shared" si="0" ref="K9:K29">SUM(B9:J9)</f>
        <v>1366086.3124190532</v>
      </c>
      <c r="L9" s="168">
        <f aca="true" t="shared" si="1" ref="L9:L29">($K9*((1+L$8)^A9))</f>
        <v>1366086.3124190532</v>
      </c>
      <c r="M9" s="168">
        <f aca="true" t="shared" si="2" ref="M9:M29">K9*((1+L$8-M$8)^A9)</f>
        <v>1366086.3124190532</v>
      </c>
    </row>
    <row r="10" spans="1:13" ht="12">
      <c r="A10" s="165">
        <f>1+A9</f>
        <v>1</v>
      </c>
      <c r="B10" s="166">
        <f>'Capital Cost Estimate'!$K$423/2</f>
        <v>200617.2650741114</v>
      </c>
      <c r="C10" s="166">
        <f>'Capital Cost Estimate'!$K$428/2</f>
        <v>56542.59670456181</v>
      </c>
      <c r="D10" s="166"/>
      <c r="E10" s="166">
        <f>'Capital Cost Estimate'!$K$449/2</f>
        <v>763940.4634479781</v>
      </c>
      <c r="F10" s="166"/>
      <c r="G10" s="166">
        <f>'Capital Cost Estimate'!$K$456/2</f>
        <v>122618.36235429559</v>
      </c>
      <c r="H10" s="166"/>
      <c r="I10" s="166"/>
      <c r="J10" s="166">
        <f>('Operating Cost Estimate'!$H$64/15)+('Operating Cost Estimate'!$H$65/5)</f>
        <v>86125</v>
      </c>
      <c r="K10" s="167">
        <f t="shared" si="0"/>
        <v>1229843.687580947</v>
      </c>
      <c r="L10" s="168">
        <f t="shared" si="1"/>
        <v>1266738.9982083754</v>
      </c>
      <c r="M10" s="168">
        <f t="shared" si="2"/>
        <v>1205246.8138293282</v>
      </c>
    </row>
    <row r="11" spans="1:13" ht="12">
      <c r="A11" s="165">
        <f>1+A10</f>
        <v>2</v>
      </c>
      <c r="B11" s="166"/>
      <c r="C11" s="166"/>
      <c r="D11" s="166"/>
      <c r="E11" s="166"/>
      <c r="F11" s="166"/>
      <c r="G11" s="166"/>
      <c r="H11" s="166"/>
      <c r="I11" s="166"/>
      <c r="J11" s="166">
        <f>('Operating Cost Estimate'!$H$64/15)+('Operating Cost Estimate'!$H$65/5)</f>
        <v>86125</v>
      </c>
      <c r="K11" s="167">
        <f t="shared" si="0"/>
        <v>86125</v>
      </c>
      <c r="L11" s="168">
        <f t="shared" si="1"/>
        <v>91370.0125</v>
      </c>
      <c r="M11" s="168">
        <f t="shared" si="2"/>
        <v>82714.45</v>
      </c>
    </row>
    <row r="12" spans="1:13" ht="12">
      <c r="A12" s="165">
        <v>3</v>
      </c>
      <c r="B12" s="419"/>
      <c r="C12" s="166"/>
      <c r="D12" s="166"/>
      <c r="E12" s="166"/>
      <c r="F12" s="166"/>
      <c r="G12" s="166"/>
      <c r="H12" s="166"/>
      <c r="I12" s="166"/>
      <c r="J12" s="166">
        <f>('Operating Cost Estimate'!$H$64/15)+('Operating Cost Estimate'!$H$65/5)</f>
        <v>86125</v>
      </c>
      <c r="K12" s="167">
        <f t="shared" si="0"/>
        <v>86125</v>
      </c>
      <c r="L12" s="168">
        <f t="shared" si="1"/>
        <v>94111.112875</v>
      </c>
      <c r="M12" s="168">
        <f t="shared" si="2"/>
        <v>81060.161</v>
      </c>
    </row>
    <row r="13" spans="1:13" ht="12">
      <c r="A13" s="165">
        <v>4</v>
      </c>
      <c r="B13" s="419"/>
      <c r="C13" s="166"/>
      <c r="D13" s="166"/>
      <c r="E13" s="166"/>
      <c r="F13" s="166"/>
      <c r="G13" s="166"/>
      <c r="H13" s="166"/>
      <c r="I13" s="166"/>
      <c r="J13" s="166">
        <f>('Operating Cost Estimate'!$H$64/15)+('Operating Cost Estimate'!$H$65/5)</f>
        <v>86125</v>
      </c>
      <c r="K13" s="167">
        <f t="shared" si="0"/>
        <v>86125</v>
      </c>
      <c r="L13" s="168">
        <f t="shared" si="1"/>
        <v>96934.44626124999</v>
      </c>
      <c r="M13" s="168">
        <f t="shared" si="2"/>
        <v>79438.95778</v>
      </c>
    </row>
    <row r="14" spans="1:13" ht="12">
      <c r="A14" s="165">
        <v>5</v>
      </c>
      <c r="C14" s="420"/>
      <c r="D14" s="166"/>
      <c r="E14" s="166"/>
      <c r="F14" s="166"/>
      <c r="G14" s="166"/>
      <c r="H14" s="166"/>
      <c r="I14" s="166"/>
      <c r="J14" s="166">
        <f>('Operating Cost Estimate'!$H$64/15)</f>
        <v>25000</v>
      </c>
      <c r="K14" s="167">
        <f t="shared" si="0"/>
        <v>25000</v>
      </c>
      <c r="L14" s="168">
        <f t="shared" si="1"/>
        <v>28981.851857499994</v>
      </c>
      <c r="M14" s="168">
        <f t="shared" si="2"/>
        <v>22598.019919999995</v>
      </c>
    </row>
    <row r="15" spans="1:13" ht="12">
      <c r="A15" s="165">
        <v>6</v>
      </c>
      <c r="B15" s="419"/>
      <c r="C15" s="166"/>
      <c r="D15" s="166"/>
      <c r="E15" s="166"/>
      <c r="F15" s="166"/>
      <c r="G15" s="166"/>
      <c r="H15" s="166"/>
      <c r="I15" s="166"/>
      <c r="J15" s="166">
        <f>('Operating Cost Estimate'!$H$64/15)</f>
        <v>25000</v>
      </c>
      <c r="K15" s="167">
        <f t="shared" si="0"/>
        <v>25000</v>
      </c>
      <c r="L15" s="168">
        <f t="shared" si="1"/>
        <v>29851.307413224997</v>
      </c>
      <c r="M15" s="168">
        <f t="shared" si="2"/>
        <v>22146.059521599997</v>
      </c>
    </row>
    <row r="16" spans="1:13" ht="12">
      <c r="A16" s="165">
        <v>7</v>
      </c>
      <c r="B16" s="419"/>
      <c r="C16" s="166"/>
      <c r="D16" s="166"/>
      <c r="E16" s="166"/>
      <c r="F16" s="166"/>
      <c r="G16" s="166"/>
      <c r="H16" s="166"/>
      <c r="I16" s="166"/>
      <c r="J16" s="166">
        <f>('Operating Cost Estimate'!$H$64/15)</f>
        <v>25000</v>
      </c>
      <c r="K16" s="167">
        <f t="shared" si="0"/>
        <v>25000</v>
      </c>
      <c r="L16" s="168">
        <f t="shared" si="1"/>
        <v>30746.84663562175</v>
      </c>
      <c r="M16" s="168">
        <f t="shared" si="2"/>
        <v>21703.138331167997</v>
      </c>
    </row>
    <row r="17" spans="1:13" ht="12">
      <c r="A17" s="165">
        <v>8</v>
      </c>
      <c r="B17" s="166"/>
      <c r="C17" s="166"/>
      <c r="D17" s="166"/>
      <c r="E17" s="166"/>
      <c r="F17" s="166"/>
      <c r="G17" s="166"/>
      <c r="H17" s="166"/>
      <c r="I17" s="166"/>
      <c r="J17" s="166">
        <f>('Operating Cost Estimate'!$H$64/15)</f>
        <v>25000</v>
      </c>
      <c r="K17" s="167">
        <f t="shared" si="0"/>
        <v>25000</v>
      </c>
      <c r="L17" s="168">
        <f t="shared" si="1"/>
        <v>31669.2520346904</v>
      </c>
      <c r="M17" s="168">
        <f t="shared" si="2"/>
        <v>21269.075564544633</v>
      </c>
    </row>
    <row r="18" spans="1:13" ht="12">
      <c r="A18" s="165">
        <v>9</v>
      </c>
      <c r="B18" s="166"/>
      <c r="C18" s="166"/>
      <c r="D18" s="166"/>
      <c r="E18" s="166"/>
      <c r="F18" s="166"/>
      <c r="G18" s="166"/>
      <c r="H18" s="166"/>
      <c r="I18" s="166"/>
      <c r="J18" s="166">
        <f>('Operating Cost Estimate'!$H$64/15)</f>
        <v>25000</v>
      </c>
      <c r="K18" s="167">
        <f t="shared" si="0"/>
        <v>25000</v>
      </c>
      <c r="L18" s="168">
        <f t="shared" si="1"/>
        <v>32619.329595731113</v>
      </c>
      <c r="M18" s="168">
        <f t="shared" si="2"/>
        <v>20843.69405325374</v>
      </c>
    </row>
    <row r="19" spans="1:13" ht="12">
      <c r="A19" s="165">
        <v>10</v>
      </c>
      <c r="B19" s="166"/>
      <c r="C19" s="166"/>
      <c r="D19" s="166"/>
      <c r="E19" s="166"/>
      <c r="F19" s="166"/>
      <c r="G19" s="166"/>
      <c r="H19" s="166"/>
      <c r="I19" s="166"/>
      <c r="J19" s="166">
        <f>('Operating Cost Estimate'!$H$64/15)</f>
        <v>25000</v>
      </c>
      <c r="K19" s="167">
        <f t="shared" si="0"/>
        <v>25000</v>
      </c>
      <c r="L19" s="168">
        <f t="shared" si="1"/>
        <v>33597.90948360304</v>
      </c>
      <c r="M19" s="168">
        <f t="shared" si="2"/>
        <v>20426.820172188665</v>
      </c>
    </row>
    <row r="20" spans="1:13" ht="12">
      <c r="A20" s="165">
        <v>11</v>
      </c>
      <c r="B20" s="166"/>
      <c r="C20" s="166"/>
      <c r="D20" s="166"/>
      <c r="E20" s="166"/>
      <c r="F20" s="166"/>
      <c r="G20" s="166"/>
      <c r="H20" s="166"/>
      <c r="I20" s="166"/>
      <c r="J20" s="166">
        <f>('Operating Cost Estimate'!$H$64/15)</f>
        <v>25000</v>
      </c>
      <c r="K20" s="167">
        <f t="shared" si="0"/>
        <v>25000</v>
      </c>
      <c r="L20" s="168">
        <f t="shared" si="1"/>
        <v>34605.846768111136</v>
      </c>
      <c r="M20" s="168">
        <f t="shared" si="2"/>
        <v>20018.283768744892</v>
      </c>
    </row>
    <row r="21" spans="1:13" ht="12">
      <c r="A21" s="165">
        <v>12</v>
      </c>
      <c r="B21" s="166"/>
      <c r="C21" s="166"/>
      <c r="D21" s="166"/>
      <c r="E21" s="166"/>
      <c r="F21" s="166"/>
      <c r="G21" s="166"/>
      <c r="H21" s="166"/>
      <c r="I21" s="166"/>
      <c r="J21" s="166">
        <f>('Operating Cost Estimate'!$H$64/15)</f>
        <v>25000</v>
      </c>
      <c r="K21" s="167">
        <f t="shared" si="0"/>
        <v>25000</v>
      </c>
      <c r="L21" s="168">
        <f t="shared" si="1"/>
        <v>35644.022171154465</v>
      </c>
      <c r="M21" s="168">
        <f t="shared" si="2"/>
        <v>19617.918093369994</v>
      </c>
    </row>
    <row r="22" spans="1:13" ht="12">
      <c r="A22" s="165">
        <v>13</v>
      </c>
      <c r="B22" s="166"/>
      <c r="C22" s="166"/>
      <c r="D22" s="166"/>
      <c r="E22" s="166"/>
      <c r="F22" s="166"/>
      <c r="G22" s="166"/>
      <c r="H22" s="166"/>
      <c r="I22" s="166"/>
      <c r="J22" s="166">
        <f>('Operating Cost Estimate'!$H$64/15)</f>
        <v>25000</v>
      </c>
      <c r="K22" s="167">
        <f t="shared" si="0"/>
        <v>25000</v>
      </c>
      <c r="L22" s="168">
        <f t="shared" si="1"/>
        <v>36713.3428362891</v>
      </c>
      <c r="M22" s="168">
        <f t="shared" si="2"/>
        <v>19225.55973150259</v>
      </c>
    </row>
    <row r="23" spans="1:13" ht="12">
      <c r="A23" s="165">
        <v>14</v>
      </c>
      <c r="B23" s="166"/>
      <c r="C23" s="166"/>
      <c r="D23" s="166"/>
      <c r="E23" s="166"/>
      <c r="F23" s="166"/>
      <c r="G23" s="166"/>
      <c r="H23" s="166"/>
      <c r="I23" s="166"/>
      <c r="J23" s="166">
        <f>('Operating Cost Estimate'!$H$64/15)</f>
        <v>25000</v>
      </c>
      <c r="K23" s="167">
        <f t="shared" si="0"/>
        <v>25000</v>
      </c>
      <c r="L23" s="168">
        <f t="shared" si="1"/>
        <v>37814.743121377775</v>
      </c>
      <c r="M23" s="168">
        <f t="shared" si="2"/>
        <v>18841.04853687254</v>
      </c>
    </row>
    <row r="24" spans="1:13" ht="12">
      <c r="A24" s="165">
        <v>15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7">
        <f t="shared" si="0"/>
        <v>0</v>
      </c>
      <c r="L24" s="168">
        <f t="shared" si="1"/>
        <v>0</v>
      </c>
      <c r="M24" s="168">
        <f t="shared" si="2"/>
        <v>0</v>
      </c>
    </row>
    <row r="25" spans="1:13" ht="12">
      <c r="A25" s="165">
        <v>16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7">
        <f t="shared" si="0"/>
        <v>0</v>
      </c>
      <c r="L25" s="168">
        <f t="shared" si="1"/>
        <v>0</v>
      </c>
      <c r="M25" s="168">
        <f t="shared" si="2"/>
        <v>0</v>
      </c>
    </row>
    <row r="26" spans="1:13" ht="12">
      <c r="A26" s="165">
        <v>17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7">
        <f t="shared" si="0"/>
        <v>0</v>
      </c>
      <c r="L26" s="168">
        <f t="shared" si="1"/>
        <v>0</v>
      </c>
      <c r="M26" s="168">
        <f t="shared" si="2"/>
        <v>0</v>
      </c>
    </row>
    <row r="27" spans="1:13" ht="12">
      <c r="A27" s="165">
        <v>18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7">
        <f t="shared" si="0"/>
        <v>0</v>
      </c>
      <c r="L27" s="168">
        <f t="shared" si="1"/>
        <v>0</v>
      </c>
      <c r="M27" s="168">
        <f t="shared" si="2"/>
        <v>0</v>
      </c>
    </row>
    <row r="28" spans="1:13" ht="12">
      <c r="A28" s="165">
        <v>19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7">
        <f t="shared" si="0"/>
        <v>0</v>
      </c>
      <c r="L28" s="168">
        <f t="shared" si="1"/>
        <v>0</v>
      </c>
      <c r="M28" s="168">
        <f t="shared" si="2"/>
        <v>0</v>
      </c>
    </row>
    <row r="29" spans="1:13" ht="12">
      <c r="A29" s="165">
        <v>20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7">
        <f t="shared" si="0"/>
        <v>0</v>
      </c>
      <c r="L29" s="168">
        <f t="shared" si="1"/>
        <v>0</v>
      </c>
      <c r="M29" s="168">
        <f t="shared" si="2"/>
        <v>0</v>
      </c>
    </row>
    <row r="30" spans="1:13" ht="12">
      <c r="A30" s="163" t="s">
        <v>97</v>
      </c>
      <c r="B30" s="164">
        <f aca="true" t="shared" si="3" ref="B30:M30">SUM(B9:B29)</f>
        <v>401234.5301482228</v>
      </c>
      <c r="C30" s="164">
        <f t="shared" si="3"/>
        <v>113085.19340912362</v>
      </c>
      <c r="D30" s="164">
        <f t="shared" si="3"/>
        <v>136242.62483810622</v>
      </c>
      <c r="E30" s="164">
        <f t="shared" si="3"/>
        <v>1527880.9268959563</v>
      </c>
      <c r="F30" s="164">
        <f t="shared" si="3"/>
        <v>0</v>
      </c>
      <c r="G30" s="164">
        <f t="shared" si="3"/>
        <v>245236.72470859118</v>
      </c>
      <c r="H30" s="164">
        <f t="shared" si="3"/>
        <v>0</v>
      </c>
      <c r="I30" s="164">
        <f t="shared" si="3"/>
        <v>0</v>
      </c>
      <c r="J30" s="164">
        <f t="shared" si="3"/>
        <v>680625</v>
      </c>
      <c r="K30" s="164">
        <f t="shared" si="3"/>
        <v>3104305</v>
      </c>
      <c r="L30" s="164">
        <f t="shared" si="3"/>
        <v>3247485.3341809832</v>
      </c>
      <c r="M30" s="164">
        <f t="shared" si="3"/>
        <v>3021236.3127216254</v>
      </c>
    </row>
    <row r="32" spans="2:13" ht="12"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M32" s="153"/>
    </row>
    <row r="33" spans="1:11" ht="12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</row>
    <row r="34" spans="1:11" ht="12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4"/>
    </row>
    <row r="35" spans="1:11" ht="12">
      <c r="A35" s="169"/>
      <c r="B35" s="152"/>
      <c r="C35" s="152"/>
      <c r="D35" s="152"/>
      <c r="E35" s="152"/>
      <c r="F35" s="152"/>
      <c r="G35" s="152"/>
      <c r="H35" s="152"/>
      <c r="I35" s="152"/>
      <c r="J35" s="152"/>
      <c r="K35" s="152"/>
    </row>
    <row r="36" spans="1:11" ht="12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</row>
    <row r="37" spans="1:11" ht="12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</row>
    <row r="38" spans="1:11" ht="12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</row>
    <row r="39" spans="1:11" ht="12">
      <c r="A39" s="152"/>
      <c r="B39" s="152"/>
      <c r="C39" s="152"/>
      <c r="D39" s="152"/>
      <c r="E39" s="152"/>
      <c r="F39" s="152"/>
      <c r="G39" s="152"/>
      <c r="H39" s="152"/>
      <c r="I39" s="152"/>
      <c r="J39" s="152"/>
      <c r="K39" s="152"/>
    </row>
    <row r="40" spans="1:11" ht="12">
      <c r="A40" s="152"/>
      <c r="B40" s="152"/>
      <c r="C40" s="152"/>
      <c r="D40" s="152"/>
      <c r="E40" s="152"/>
      <c r="F40" s="152"/>
      <c r="G40" s="152"/>
      <c r="H40" s="152"/>
      <c r="I40" s="152"/>
      <c r="J40" s="152"/>
      <c r="K40" s="152"/>
    </row>
    <row r="41" spans="1:11" ht="12">
      <c r="A41" s="152"/>
      <c r="B41" s="152"/>
      <c r="C41" s="152"/>
      <c r="D41" s="152"/>
      <c r="E41" s="152"/>
      <c r="F41" s="152"/>
      <c r="G41" s="152"/>
      <c r="H41" s="152"/>
      <c r="I41" s="152"/>
      <c r="J41" s="152"/>
      <c r="K41" s="152"/>
    </row>
    <row r="42" spans="1:11" ht="12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</row>
    <row r="43" spans="1:11" ht="12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</row>
    <row r="44" spans="1:11" ht="12">
      <c r="A44" s="152"/>
      <c r="B44" s="152"/>
      <c r="C44" s="152"/>
      <c r="D44" s="152"/>
      <c r="E44" s="152"/>
      <c r="F44" s="152"/>
      <c r="G44" s="152"/>
      <c r="H44" s="152"/>
      <c r="I44" s="152"/>
      <c r="J44" s="152"/>
      <c r="K44" s="152"/>
    </row>
    <row r="45" spans="1:11" ht="12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</row>
    <row r="46" spans="1:11" ht="12">
      <c r="A46" s="152"/>
      <c r="B46" s="152"/>
      <c r="C46" s="152"/>
      <c r="D46" s="152"/>
      <c r="E46" s="152"/>
      <c r="F46" s="152"/>
      <c r="G46" s="152"/>
      <c r="H46" s="152"/>
      <c r="I46" s="152"/>
      <c r="J46" s="152"/>
      <c r="K46" s="152"/>
    </row>
    <row r="47" spans="1:11" ht="12">
      <c r="A47" s="152"/>
      <c r="B47" s="152"/>
      <c r="C47" s="152"/>
      <c r="D47" s="152"/>
      <c r="E47" s="152"/>
      <c r="F47" s="152"/>
      <c r="G47" s="152"/>
      <c r="H47" s="152"/>
      <c r="I47" s="152"/>
      <c r="J47" s="152"/>
      <c r="K47" s="152"/>
    </row>
    <row r="48" spans="1:11" ht="12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</row>
    <row r="49" spans="1:11" ht="12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</row>
    <row r="50" spans="1:11" ht="12">
      <c r="A50" s="152"/>
      <c r="B50" s="152"/>
      <c r="C50" s="152"/>
      <c r="D50" s="152"/>
      <c r="E50" s="152"/>
      <c r="F50" s="152"/>
      <c r="G50" s="152"/>
      <c r="H50" s="152"/>
      <c r="I50" s="152"/>
      <c r="J50" s="152"/>
      <c r="K50" s="152"/>
    </row>
    <row r="51" spans="1:11" ht="12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</row>
    <row r="52" spans="1:11" ht="12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4"/>
    </row>
    <row r="53" spans="1:11" ht="12">
      <c r="A53" s="152"/>
      <c r="B53" s="152"/>
      <c r="C53" s="152"/>
      <c r="D53" s="152"/>
      <c r="E53" s="152"/>
      <c r="F53" s="152"/>
      <c r="G53" s="152"/>
      <c r="H53" s="152"/>
      <c r="I53" s="152"/>
      <c r="J53" s="152"/>
      <c r="K53" s="154"/>
    </row>
    <row r="54" spans="1:11" ht="12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4"/>
    </row>
    <row r="55" spans="1:11" ht="12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</row>
    <row r="56" spans="1:11" ht="12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152"/>
    </row>
    <row r="57" spans="1:11" ht="12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4"/>
    </row>
    <row r="58" spans="1:11" ht="12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4"/>
    </row>
    <row r="59" spans="1:11" ht="12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154"/>
    </row>
    <row r="60" spans="1:11" ht="12">
      <c r="A60" s="152"/>
      <c r="B60" s="152"/>
      <c r="C60" s="152"/>
      <c r="D60" s="152"/>
      <c r="E60" s="152"/>
      <c r="F60" s="152"/>
      <c r="G60" s="152"/>
      <c r="H60" s="152"/>
      <c r="I60" s="152"/>
      <c r="J60" s="152"/>
      <c r="K60" s="152"/>
    </row>
    <row r="61" spans="1:11" ht="12">
      <c r="A61" s="152"/>
      <c r="B61" s="152"/>
      <c r="C61" s="152"/>
      <c r="D61" s="152"/>
      <c r="E61" s="152"/>
      <c r="F61" s="152"/>
      <c r="G61" s="152"/>
      <c r="H61" s="152"/>
      <c r="I61" s="152"/>
      <c r="J61" s="152"/>
      <c r="K61" s="152"/>
    </row>
    <row r="62" spans="1:11" ht="12">
      <c r="A62" s="152"/>
      <c r="B62" s="152"/>
      <c r="C62" s="152"/>
      <c r="D62" s="152"/>
      <c r="E62" s="152"/>
      <c r="F62" s="152"/>
      <c r="G62" s="152"/>
      <c r="H62" s="152"/>
      <c r="I62" s="152"/>
      <c r="J62" s="152"/>
      <c r="K62" s="154"/>
    </row>
    <row r="63" spans="1:11" ht="12">
      <c r="A63" s="152"/>
      <c r="B63" s="152"/>
      <c r="C63" s="152"/>
      <c r="D63" s="152"/>
      <c r="E63" s="152"/>
      <c r="F63" s="152"/>
      <c r="G63" s="152"/>
      <c r="H63" s="152"/>
      <c r="I63" s="152"/>
      <c r="J63" s="152"/>
      <c r="K63" s="154"/>
    </row>
    <row r="64" spans="1:11" ht="12">
      <c r="A64" s="152"/>
      <c r="B64" s="152"/>
      <c r="C64" s="152"/>
      <c r="D64" s="152"/>
      <c r="E64" s="152"/>
      <c r="F64" s="152"/>
      <c r="G64" s="152"/>
      <c r="H64" s="152"/>
      <c r="I64" s="152"/>
      <c r="J64" s="152"/>
      <c r="K64" s="154"/>
    </row>
    <row r="71" spans="8:10" ht="12">
      <c r="H71" s="155"/>
      <c r="I71" s="155"/>
      <c r="J71" s="155"/>
    </row>
    <row r="73" ht="4.5" customHeight="1"/>
    <row r="75" ht="4.5" customHeight="1"/>
    <row r="77" ht="4.5" customHeight="1"/>
    <row r="79" ht="4.5" customHeight="1"/>
    <row r="83" ht="4.5" customHeight="1"/>
    <row r="87" ht="4.5" customHeight="1"/>
    <row r="92" ht="12">
      <c r="G92" s="156"/>
    </row>
    <row r="93" ht="12">
      <c r="G93" s="156"/>
    </row>
    <row r="94" ht="12">
      <c r="G94" s="156"/>
    </row>
    <row r="100" ht="4.5" customHeight="1"/>
    <row r="104" ht="4.5" customHeight="1"/>
    <row r="105" spans="2:4" ht="12">
      <c r="B105" s="157"/>
      <c r="C105" s="157"/>
      <c r="D105" s="157"/>
    </row>
  </sheetData>
  <mergeCells count="6">
    <mergeCell ref="B3:K3"/>
    <mergeCell ref="A6:A8"/>
    <mergeCell ref="B6:J6"/>
    <mergeCell ref="K6:K8"/>
    <mergeCell ref="B7:G7"/>
    <mergeCell ref="H7:J7"/>
  </mergeCells>
  <hyperlinks>
    <hyperlink ref="L9" r:id="rId1" display="=@npv(L8,K9)"/>
    <hyperlink ref="M9" r:id="rId2" display="=@npv(L8,K9)"/>
    <hyperlink ref="L10:L29" r:id="rId3" display="=@npv(L8,K9)"/>
    <hyperlink ref="M10:M29" r:id="rId4" display="=@npv(L8,K9)"/>
  </hyperlinks>
  <printOptions/>
  <pageMargins left="0.75" right="0.75" top="1" bottom="1" header="0.5" footer="0.5"/>
  <pageSetup fitToHeight="0" fitToWidth="1" horizontalDpi="1200" verticalDpi="1200" orientation="landscape" scale="76" r:id="rId5"/>
  <headerFooter alignWithMargins="0">
    <oddFooter>&amp;L&amp;"Braggadocio,Regular"CSP&amp;X2&amp;RPage &amp;P of &amp;N</oddFooter>
  </headerFooter>
  <ignoredErrors>
    <ignoredError sqref="K24:K2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5"/>
  <sheetViews>
    <sheetView zoomScale="75" zoomScaleNormal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3" sqref="B3:K3"/>
    </sheetView>
  </sheetViews>
  <sheetFormatPr defaultColWidth="9.140625" defaultRowHeight="12.75"/>
  <cols>
    <col min="1" max="1" width="15.421875" style="147" customWidth="1"/>
    <col min="2" max="4" width="11.7109375" style="147" customWidth="1"/>
    <col min="5" max="6" width="12.7109375" style="147" customWidth="1"/>
    <col min="7" max="7" width="11.7109375" style="147" bestFit="1" customWidth="1"/>
    <col min="8" max="10" width="11.7109375" style="147" customWidth="1"/>
    <col min="11" max="11" width="14.28125" style="147" customWidth="1"/>
    <col min="12" max="13" width="12.7109375" style="147" bestFit="1" customWidth="1"/>
    <col min="14" max="156" width="11.00390625" style="147" bestFit="1" customWidth="1"/>
    <col min="157" max="157" width="12.00390625" style="147" bestFit="1" customWidth="1"/>
    <col min="158" max="16384" width="8.00390625" style="147" customWidth="1"/>
  </cols>
  <sheetData>
    <row r="1" spans="1:11" ht="12">
      <c r="A1" s="144"/>
      <c r="B1" s="145" t="s">
        <v>490</v>
      </c>
      <c r="C1" s="145"/>
      <c r="D1" s="145"/>
      <c r="E1" s="146"/>
      <c r="F1" s="146"/>
      <c r="G1" s="146"/>
      <c r="H1" s="146"/>
      <c r="I1" s="146"/>
      <c r="J1" s="146"/>
      <c r="K1" s="146"/>
    </row>
    <row r="2" spans="2:11" ht="12">
      <c r="B2" s="145" t="s">
        <v>526</v>
      </c>
      <c r="C2" s="145"/>
      <c r="D2" s="145"/>
      <c r="E2" s="146"/>
      <c r="F2" s="146"/>
      <c r="G2" s="146"/>
      <c r="H2" s="146"/>
      <c r="I2" s="146"/>
      <c r="J2" s="146"/>
      <c r="K2" s="146"/>
    </row>
    <row r="3" spans="2:11" ht="12">
      <c r="B3" s="549" t="s">
        <v>492</v>
      </c>
      <c r="C3" s="549"/>
      <c r="D3" s="549"/>
      <c r="E3" s="550"/>
      <c r="F3" s="550"/>
      <c r="G3" s="550"/>
      <c r="H3" s="550"/>
      <c r="I3" s="550"/>
      <c r="J3" s="550"/>
      <c r="K3" s="550"/>
    </row>
    <row r="4" spans="2:11" ht="12">
      <c r="B4" s="145"/>
      <c r="C4" s="145"/>
      <c r="D4" s="145"/>
      <c r="E4" s="146"/>
      <c r="F4" s="146"/>
      <c r="G4" s="146"/>
      <c r="H4" s="146"/>
      <c r="I4" s="146"/>
      <c r="J4" s="146"/>
      <c r="K4" s="146"/>
    </row>
    <row r="6" spans="1:13" ht="12">
      <c r="A6" s="551" t="s">
        <v>95</v>
      </c>
      <c r="B6" s="553" t="s">
        <v>118</v>
      </c>
      <c r="C6" s="553"/>
      <c r="D6" s="553"/>
      <c r="E6" s="553"/>
      <c r="F6" s="553"/>
      <c r="G6" s="553"/>
      <c r="H6" s="554"/>
      <c r="I6" s="554"/>
      <c r="J6" s="554"/>
      <c r="K6" s="555" t="s">
        <v>98</v>
      </c>
      <c r="L6" s="148" t="s">
        <v>119</v>
      </c>
      <c r="M6" s="149" t="s">
        <v>120</v>
      </c>
    </row>
    <row r="7" spans="1:13" ht="12.75">
      <c r="A7" s="552"/>
      <c r="B7" s="558" t="s">
        <v>93</v>
      </c>
      <c r="C7" s="559"/>
      <c r="D7" s="559"/>
      <c r="E7" s="559"/>
      <c r="F7" s="559"/>
      <c r="G7" s="560"/>
      <c r="H7" s="561" t="s">
        <v>94</v>
      </c>
      <c r="I7" s="562"/>
      <c r="J7" s="563"/>
      <c r="K7" s="556"/>
      <c r="L7" s="150" t="s">
        <v>121</v>
      </c>
      <c r="M7" s="151" t="s">
        <v>122</v>
      </c>
    </row>
    <row r="8" spans="1:13" ht="36">
      <c r="A8" s="552"/>
      <c r="B8" s="158" t="s">
        <v>135</v>
      </c>
      <c r="C8" s="159" t="s">
        <v>491</v>
      </c>
      <c r="D8" s="159" t="s">
        <v>142</v>
      </c>
      <c r="E8" s="160" t="s">
        <v>126</v>
      </c>
      <c r="F8" s="158" t="s">
        <v>31</v>
      </c>
      <c r="G8" s="158" t="s">
        <v>96</v>
      </c>
      <c r="H8" s="159" t="s">
        <v>123</v>
      </c>
      <c r="I8" s="158" t="s">
        <v>124</v>
      </c>
      <c r="J8" s="158" t="s">
        <v>125</v>
      </c>
      <c r="K8" s="557"/>
      <c r="L8" s="161">
        <v>0.03</v>
      </c>
      <c r="M8" s="162">
        <v>0.05</v>
      </c>
    </row>
    <row r="9" spans="1:13" ht="12">
      <c r="A9" s="165">
        <v>0</v>
      </c>
      <c r="B9" s="166">
        <f>'Capital Cost Estimate'!$S$423/2</f>
        <v>244435.00000000003</v>
      </c>
      <c r="C9" s="166">
        <f>'Capital Cost Estimate'!$S$428/2</f>
        <v>68892.32400000001</v>
      </c>
      <c r="D9" s="166">
        <f>'Capital Cost Estimate'!$S$433</f>
        <v>166000</v>
      </c>
      <c r="E9" s="166">
        <f>'Capital Cost Estimate'!$S$449/2</f>
        <v>930796.1960000001</v>
      </c>
      <c r="F9" s="166">
        <f>'Capital Cost Estimate'!$S$454</f>
        <v>0</v>
      </c>
      <c r="G9" s="166">
        <f>'Capital Cost Estimate'!$S$456/2</f>
        <v>149400</v>
      </c>
      <c r="H9" s="166"/>
      <c r="I9" s="166"/>
      <c r="J9" s="166">
        <f>('Operating Cost Estimate'!$J$64/15)+('Operating Cost Estimate'!$J$65/5)</f>
        <v>114374.00000000003</v>
      </c>
      <c r="K9" s="167">
        <f aca="true" t="shared" si="0" ref="K9:K29">SUM(B9:J9)</f>
        <v>1673897.52</v>
      </c>
      <c r="L9" s="168">
        <f aca="true" t="shared" si="1" ref="L9:L29">($K9*((1+L$8)^A9))</f>
        <v>1673897.52</v>
      </c>
      <c r="M9" s="168">
        <f aca="true" t="shared" si="2" ref="M9:M29">K9*((1+L$8-M$8)^A9)</f>
        <v>1673897.52</v>
      </c>
    </row>
    <row r="10" spans="1:13" ht="12">
      <c r="A10" s="165">
        <f>1+A9</f>
        <v>1</v>
      </c>
      <c r="B10" s="166">
        <f>'Capital Cost Estimate'!$S$423/2</f>
        <v>244435.00000000003</v>
      </c>
      <c r="C10" s="166">
        <f>'Capital Cost Estimate'!$S$428/2</f>
        <v>68892.32400000001</v>
      </c>
      <c r="D10" s="166"/>
      <c r="E10" s="166">
        <f>'Capital Cost Estimate'!$S$449/2</f>
        <v>930796.1960000001</v>
      </c>
      <c r="F10" s="166"/>
      <c r="G10" s="166">
        <f>'Capital Cost Estimate'!$S$456/2</f>
        <v>149400</v>
      </c>
      <c r="H10" s="166"/>
      <c r="I10" s="166"/>
      <c r="J10" s="166">
        <f>('Operating Cost Estimate'!$J$64/15)+('Operating Cost Estimate'!$J$65/5)</f>
        <v>114374.00000000003</v>
      </c>
      <c r="K10" s="167">
        <f t="shared" si="0"/>
        <v>1507897.52</v>
      </c>
      <c r="L10" s="168">
        <f t="shared" si="1"/>
        <v>1553134.4456</v>
      </c>
      <c r="M10" s="168">
        <f t="shared" si="2"/>
        <v>1477739.5696</v>
      </c>
    </row>
    <row r="11" spans="1:13" ht="12">
      <c r="A11" s="165">
        <f>1+A10</f>
        <v>2</v>
      </c>
      <c r="B11" s="166"/>
      <c r="C11" s="166"/>
      <c r="D11" s="166"/>
      <c r="E11" s="166"/>
      <c r="F11" s="166"/>
      <c r="G11" s="166"/>
      <c r="H11" s="166"/>
      <c r="I11" s="166"/>
      <c r="J11" s="166">
        <f>('Operating Cost Estimate'!$J$64/15)+('Operating Cost Estimate'!$J$65/5)</f>
        <v>114374.00000000003</v>
      </c>
      <c r="K11" s="167">
        <f t="shared" si="0"/>
        <v>114374.00000000003</v>
      </c>
      <c r="L11" s="168">
        <f t="shared" si="1"/>
        <v>121339.37660000003</v>
      </c>
      <c r="M11" s="168">
        <f t="shared" si="2"/>
        <v>109844.78960000002</v>
      </c>
    </row>
    <row r="12" spans="1:13" ht="12">
      <c r="A12" s="165">
        <v>3</v>
      </c>
      <c r="B12" s="419"/>
      <c r="C12" s="166"/>
      <c r="D12" s="166"/>
      <c r="E12" s="166"/>
      <c r="F12" s="166"/>
      <c r="G12" s="166"/>
      <c r="H12" s="166"/>
      <c r="I12" s="166"/>
      <c r="J12" s="166">
        <f>('Operating Cost Estimate'!$J$64/15)+('Operating Cost Estimate'!$J$65/5)</f>
        <v>114374.00000000003</v>
      </c>
      <c r="K12" s="167">
        <f t="shared" si="0"/>
        <v>114374.00000000003</v>
      </c>
      <c r="L12" s="168">
        <f t="shared" si="1"/>
        <v>124979.55789800003</v>
      </c>
      <c r="M12" s="168">
        <f t="shared" si="2"/>
        <v>107647.89380800002</v>
      </c>
    </row>
    <row r="13" spans="1:13" ht="12">
      <c r="A13" s="165">
        <v>4</v>
      </c>
      <c r="B13" s="419"/>
      <c r="C13" s="166"/>
      <c r="D13" s="166"/>
      <c r="E13" s="166"/>
      <c r="F13" s="166"/>
      <c r="G13" s="166"/>
      <c r="H13" s="166"/>
      <c r="I13" s="166"/>
      <c r="J13" s="166">
        <f>('Operating Cost Estimate'!$J$64/15)+('Operating Cost Estimate'!$J$65/5)</f>
        <v>114374.00000000003</v>
      </c>
      <c r="K13" s="167">
        <f t="shared" si="0"/>
        <v>114374.00000000003</v>
      </c>
      <c r="L13" s="168">
        <f t="shared" si="1"/>
        <v>128728.94463494002</v>
      </c>
      <c r="M13" s="168">
        <f t="shared" si="2"/>
        <v>105494.93593184001</v>
      </c>
    </row>
    <row r="14" spans="1:13" ht="12">
      <c r="A14" s="165">
        <v>5</v>
      </c>
      <c r="C14" s="420"/>
      <c r="D14" s="166"/>
      <c r="E14" s="166"/>
      <c r="F14" s="166"/>
      <c r="G14" s="166"/>
      <c r="H14" s="166"/>
      <c r="I14" s="166"/>
      <c r="J14" s="166">
        <f>('Operating Cost Estimate'!$J$64/15)</f>
        <v>33200.00000000001</v>
      </c>
      <c r="K14" s="167">
        <f t="shared" si="0"/>
        <v>33200.00000000001</v>
      </c>
      <c r="L14" s="168">
        <f t="shared" si="1"/>
        <v>38487.89926676</v>
      </c>
      <c r="M14" s="168">
        <f t="shared" si="2"/>
        <v>30010.17045376</v>
      </c>
    </row>
    <row r="15" spans="1:13" ht="12">
      <c r="A15" s="165">
        <v>6</v>
      </c>
      <c r="B15" s="419"/>
      <c r="C15" s="166"/>
      <c r="D15" s="166"/>
      <c r="E15" s="166"/>
      <c r="F15" s="166"/>
      <c r="G15" s="166"/>
      <c r="H15" s="166"/>
      <c r="I15" s="166"/>
      <c r="J15" s="166">
        <f>('Operating Cost Estimate'!$J$64/15)</f>
        <v>33200.00000000001</v>
      </c>
      <c r="K15" s="167">
        <f t="shared" si="0"/>
        <v>33200.00000000001</v>
      </c>
      <c r="L15" s="168">
        <f t="shared" si="1"/>
        <v>39642.53624476281</v>
      </c>
      <c r="M15" s="168">
        <f t="shared" si="2"/>
        <v>29409.9670446848</v>
      </c>
    </row>
    <row r="16" spans="1:13" ht="12">
      <c r="A16" s="165">
        <v>7</v>
      </c>
      <c r="B16" s="419"/>
      <c r="C16" s="166"/>
      <c r="D16" s="166"/>
      <c r="E16" s="166"/>
      <c r="F16" s="166"/>
      <c r="G16" s="166"/>
      <c r="H16" s="166"/>
      <c r="I16" s="166"/>
      <c r="J16" s="166">
        <f>('Operating Cost Estimate'!$J$64/15)</f>
        <v>33200.00000000001</v>
      </c>
      <c r="K16" s="167">
        <f t="shared" si="0"/>
        <v>33200.00000000001</v>
      </c>
      <c r="L16" s="168">
        <f t="shared" si="1"/>
        <v>40831.81233210569</v>
      </c>
      <c r="M16" s="168">
        <f t="shared" si="2"/>
        <v>28821.767703791105</v>
      </c>
    </row>
    <row r="17" spans="1:13" ht="12">
      <c r="A17" s="165">
        <v>8</v>
      </c>
      <c r="B17" s="166"/>
      <c r="C17" s="166"/>
      <c r="D17" s="166"/>
      <c r="E17" s="166"/>
      <c r="F17" s="166"/>
      <c r="G17" s="166"/>
      <c r="H17" s="166"/>
      <c r="I17" s="166"/>
      <c r="J17" s="166">
        <f>('Operating Cost Estimate'!$J$64/15)</f>
        <v>33200.00000000001</v>
      </c>
      <c r="K17" s="167">
        <f t="shared" si="0"/>
        <v>33200.00000000001</v>
      </c>
      <c r="L17" s="168">
        <f t="shared" si="1"/>
        <v>42056.76670206886</v>
      </c>
      <c r="M17" s="168">
        <f t="shared" si="2"/>
        <v>28245.33234971528</v>
      </c>
    </row>
    <row r="18" spans="1:13" ht="12">
      <c r="A18" s="165">
        <v>9</v>
      </c>
      <c r="B18" s="166"/>
      <c r="C18" s="166"/>
      <c r="D18" s="166"/>
      <c r="E18" s="166"/>
      <c r="F18" s="166"/>
      <c r="G18" s="166"/>
      <c r="H18" s="166"/>
      <c r="I18" s="166"/>
      <c r="J18" s="166">
        <f>('Operating Cost Estimate'!$J$64/15)</f>
        <v>33200.00000000001</v>
      </c>
      <c r="K18" s="167">
        <f t="shared" si="0"/>
        <v>33200.00000000001</v>
      </c>
      <c r="L18" s="168">
        <f t="shared" si="1"/>
        <v>43318.469703130926</v>
      </c>
      <c r="M18" s="168">
        <f t="shared" si="2"/>
        <v>27680.425702720975</v>
      </c>
    </row>
    <row r="19" spans="1:13" ht="12">
      <c r="A19" s="165">
        <v>10</v>
      </c>
      <c r="B19" s="166"/>
      <c r="C19" s="166"/>
      <c r="D19" s="166"/>
      <c r="E19" s="166"/>
      <c r="F19" s="166"/>
      <c r="G19" s="166"/>
      <c r="H19" s="166"/>
      <c r="I19" s="166"/>
      <c r="J19" s="166">
        <f>('Operating Cost Estimate'!$J$64/15)</f>
        <v>33200.00000000001</v>
      </c>
      <c r="K19" s="167">
        <f t="shared" si="0"/>
        <v>33200.00000000001</v>
      </c>
      <c r="L19" s="168">
        <f t="shared" si="1"/>
        <v>44618.02379422485</v>
      </c>
      <c r="M19" s="168">
        <f t="shared" si="2"/>
        <v>27126.81718866655</v>
      </c>
    </row>
    <row r="20" spans="1:13" ht="12">
      <c r="A20" s="165">
        <v>11</v>
      </c>
      <c r="B20" s="166"/>
      <c r="C20" s="166"/>
      <c r="D20" s="166"/>
      <c r="E20" s="166"/>
      <c r="F20" s="166"/>
      <c r="G20" s="166"/>
      <c r="H20" s="166"/>
      <c r="I20" s="166"/>
      <c r="J20" s="166">
        <f>('Operating Cost Estimate'!$J$64/15)</f>
        <v>33200.00000000001</v>
      </c>
      <c r="K20" s="167">
        <f t="shared" si="0"/>
        <v>33200.00000000001</v>
      </c>
      <c r="L20" s="168">
        <f t="shared" si="1"/>
        <v>45956.5645080516</v>
      </c>
      <c r="M20" s="168">
        <f t="shared" si="2"/>
        <v>26584.28084489322</v>
      </c>
    </row>
    <row r="21" spans="1:13" ht="12">
      <c r="A21" s="165">
        <v>12</v>
      </c>
      <c r="B21" s="166"/>
      <c r="C21" s="166"/>
      <c r="D21" s="166"/>
      <c r="E21" s="166"/>
      <c r="F21" s="166"/>
      <c r="G21" s="166"/>
      <c r="H21" s="166"/>
      <c r="I21" s="166"/>
      <c r="J21" s="166">
        <f>('Operating Cost Estimate'!$J$64/15)</f>
        <v>33200.00000000001</v>
      </c>
      <c r="K21" s="167">
        <f t="shared" si="0"/>
        <v>33200.00000000001</v>
      </c>
      <c r="L21" s="168">
        <f t="shared" si="1"/>
        <v>47335.261443293144</v>
      </c>
      <c r="M21" s="168">
        <f t="shared" si="2"/>
        <v>26052.595227995356</v>
      </c>
    </row>
    <row r="22" spans="1:13" ht="12">
      <c r="A22" s="165">
        <v>13</v>
      </c>
      <c r="B22" s="166"/>
      <c r="C22" s="166"/>
      <c r="D22" s="166"/>
      <c r="E22" s="166"/>
      <c r="F22" s="166"/>
      <c r="G22" s="166"/>
      <c r="H22" s="166"/>
      <c r="I22" s="166"/>
      <c r="J22" s="166">
        <f>('Operating Cost Estimate'!$J$64/15)</f>
        <v>33200.00000000001</v>
      </c>
      <c r="K22" s="167">
        <f t="shared" si="0"/>
        <v>33200.00000000001</v>
      </c>
      <c r="L22" s="168">
        <f t="shared" si="1"/>
        <v>48755.31928659193</v>
      </c>
      <c r="M22" s="168">
        <f t="shared" si="2"/>
        <v>25531.54332343545</v>
      </c>
    </row>
    <row r="23" spans="1:13" ht="12">
      <c r="A23" s="165">
        <v>14</v>
      </c>
      <c r="B23" s="166"/>
      <c r="C23" s="166"/>
      <c r="D23" s="166"/>
      <c r="E23" s="166"/>
      <c r="F23" s="166"/>
      <c r="G23" s="166"/>
      <c r="H23" s="166"/>
      <c r="I23" s="166"/>
      <c r="J23" s="166">
        <f>('Operating Cost Estimate'!$J$64/15)</f>
        <v>33200.00000000001</v>
      </c>
      <c r="K23" s="167">
        <f t="shared" si="0"/>
        <v>33200.00000000001</v>
      </c>
      <c r="L23" s="168">
        <f t="shared" si="1"/>
        <v>50217.978865189696</v>
      </c>
      <c r="M23" s="168">
        <f t="shared" si="2"/>
        <v>25020.91245696674</v>
      </c>
    </row>
    <row r="24" spans="1:13" ht="12">
      <c r="A24" s="165">
        <v>15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7">
        <f t="shared" si="0"/>
        <v>0</v>
      </c>
      <c r="L24" s="168">
        <f t="shared" si="1"/>
        <v>0</v>
      </c>
      <c r="M24" s="168">
        <f t="shared" si="2"/>
        <v>0</v>
      </c>
    </row>
    <row r="25" spans="1:13" ht="12">
      <c r="A25" s="165">
        <v>16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7">
        <f t="shared" si="0"/>
        <v>0</v>
      </c>
      <c r="L25" s="168">
        <f t="shared" si="1"/>
        <v>0</v>
      </c>
      <c r="M25" s="168">
        <f t="shared" si="2"/>
        <v>0</v>
      </c>
    </row>
    <row r="26" spans="1:13" ht="12">
      <c r="A26" s="165">
        <v>17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7">
        <f t="shared" si="0"/>
        <v>0</v>
      </c>
      <c r="L26" s="168">
        <f t="shared" si="1"/>
        <v>0</v>
      </c>
      <c r="M26" s="168">
        <f t="shared" si="2"/>
        <v>0</v>
      </c>
    </row>
    <row r="27" spans="1:13" ht="12">
      <c r="A27" s="165">
        <v>18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7">
        <f t="shared" si="0"/>
        <v>0</v>
      </c>
      <c r="L27" s="168">
        <f t="shared" si="1"/>
        <v>0</v>
      </c>
      <c r="M27" s="168">
        <f t="shared" si="2"/>
        <v>0</v>
      </c>
    </row>
    <row r="28" spans="1:13" ht="12">
      <c r="A28" s="165">
        <v>19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7">
        <f t="shared" si="0"/>
        <v>0</v>
      </c>
      <c r="L28" s="168">
        <f t="shared" si="1"/>
        <v>0</v>
      </c>
      <c r="M28" s="168">
        <f t="shared" si="2"/>
        <v>0</v>
      </c>
    </row>
    <row r="29" spans="1:13" ht="12">
      <c r="A29" s="165">
        <v>20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7">
        <f t="shared" si="0"/>
        <v>0</v>
      </c>
      <c r="L29" s="168">
        <f t="shared" si="1"/>
        <v>0</v>
      </c>
      <c r="M29" s="168">
        <f t="shared" si="2"/>
        <v>0</v>
      </c>
    </row>
    <row r="30" spans="1:13" ht="12">
      <c r="A30" s="163" t="s">
        <v>97</v>
      </c>
      <c r="B30" s="164">
        <f aca="true" t="shared" si="3" ref="B30:M30">SUM(B9:B29)</f>
        <v>488870.00000000006</v>
      </c>
      <c r="C30" s="164">
        <f t="shared" si="3"/>
        <v>137784.64800000002</v>
      </c>
      <c r="D30" s="164">
        <f t="shared" si="3"/>
        <v>166000</v>
      </c>
      <c r="E30" s="164">
        <f t="shared" si="3"/>
        <v>1861592.3920000002</v>
      </c>
      <c r="F30" s="164">
        <f t="shared" si="3"/>
        <v>0</v>
      </c>
      <c r="G30" s="164">
        <f t="shared" si="3"/>
        <v>298800</v>
      </c>
      <c r="H30" s="164">
        <f t="shared" si="3"/>
        <v>0</v>
      </c>
      <c r="I30" s="164">
        <f t="shared" si="3"/>
        <v>0</v>
      </c>
      <c r="J30" s="164">
        <f t="shared" si="3"/>
        <v>903870.0000000001</v>
      </c>
      <c r="K30" s="164">
        <f t="shared" si="3"/>
        <v>3856917.04</v>
      </c>
      <c r="L30" s="164">
        <f t="shared" si="3"/>
        <v>4043300.476879119</v>
      </c>
      <c r="M30" s="164">
        <f t="shared" si="3"/>
        <v>3749108.5212364695</v>
      </c>
    </row>
    <row r="32" spans="2:13" ht="12"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M32" s="153"/>
    </row>
    <row r="33" spans="1:11" ht="12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</row>
    <row r="34" spans="1:11" ht="12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4"/>
    </row>
    <row r="35" spans="1:11" ht="12">
      <c r="A35" s="169"/>
      <c r="B35" s="152"/>
      <c r="C35" s="152"/>
      <c r="D35" s="152"/>
      <c r="E35" s="152"/>
      <c r="F35" s="152"/>
      <c r="G35" s="152"/>
      <c r="H35" s="152"/>
      <c r="I35" s="152"/>
      <c r="J35" s="152"/>
      <c r="K35" s="152"/>
    </row>
    <row r="36" spans="1:11" ht="12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</row>
    <row r="37" spans="1:11" ht="12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</row>
    <row r="38" spans="1:11" ht="12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</row>
    <row r="39" spans="1:11" ht="12">
      <c r="A39" s="152"/>
      <c r="B39" s="152"/>
      <c r="C39" s="152"/>
      <c r="D39" s="152"/>
      <c r="E39" s="152"/>
      <c r="F39" s="152"/>
      <c r="G39" s="152"/>
      <c r="H39" s="152"/>
      <c r="I39" s="152"/>
      <c r="J39" s="152"/>
      <c r="K39" s="152"/>
    </row>
    <row r="40" spans="1:11" ht="12">
      <c r="A40" s="152"/>
      <c r="B40" s="152"/>
      <c r="C40" s="152"/>
      <c r="D40" s="152"/>
      <c r="E40" s="152"/>
      <c r="F40" s="152"/>
      <c r="G40" s="152"/>
      <c r="H40" s="152"/>
      <c r="I40" s="152"/>
      <c r="J40" s="152"/>
      <c r="K40" s="152"/>
    </row>
    <row r="41" spans="1:11" ht="12">
      <c r="A41" s="152"/>
      <c r="B41" s="152"/>
      <c r="C41" s="152"/>
      <c r="D41" s="152"/>
      <c r="E41" s="152"/>
      <c r="F41" s="152"/>
      <c r="G41" s="152"/>
      <c r="H41" s="152"/>
      <c r="I41" s="152"/>
      <c r="J41" s="152"/>
      <c r="K41" s="152"/>
    </row>
    <row r="42" spans="1:11" ht="12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</row>
    <row r="43" spans="1:11" ht="12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</row>
    <row r="44" spans="1:11" ht="12">
      <c r="A44" s="152"/>
      <c r="B44" s="152"/>
      <c r="C44" s="152"/>
      <c r="D44" s="152"/>
      <c r="E44" s="152"/>
      <c r="F44" s="152"/>
      <c r="G44" s="152"/>
      <c r="H44" s="152"/>
      <c r="I44" s="152"/>
      <c r="J44" s="152"/>
      <c r="K44" s="152"/>
    </row>
    <row r="45" spans="1:11" ht="12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</row>
    <row r="46" spans="1:11" ht="12">
      <c r="A46" s="152"/>
      <c r="B46" s="152"/>
      <c r="C46" s="152"/>
      <c r="D46" s="152"/>
      <c r="E46" s="152"/>
      <c r="F46" s="152"/>
      <c r="G46" s="152"/>
      <c r="H46" s="152"/>
      <c r="I46" s="152"/>
      <c r="J46" s="152"/>
      <c r="K46" s="152"/>
    </row>
    <row r="47" spans="1:11" ht="12">
      <c r="A47" s="152"/>
      <c r="B47" s="152"/>
      <c r="C47" s="152"/>
      <c r="D47" s="152"/>
      <c r="E47" s="152"/>
      <c r="F47" s="152"/>
      <c r="G47" s="152"/>
      <c r="H47" s="152"/>
      <c r="I47" s="152"/>
      <c r="J47" s="152"/>
      <c r="K47" s="152"/>
    </row>
    <row r="48" spans="1:11" ht="12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</row>
    <row r="49" spans="1:11" ht="12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</row>
    <row r="50" spans="1:11" ht="12">
      <c r="A50" s="152"/>
      <c r="B50" s="152"/>
      <c r="C50" s="152"/>
      <c r="D50" s="152"/>
      <c r="E50" s="152"/>
      <c r="F50" s="152"/>
      <c r="G50" s="152"/>
      <c r="H50" s="152"/>
      <c r="I50" s="152"/>
      <c r="J50" s="152"/>
      <c r="K50" s="152"/>
    </row>
    <row r="51" spans="1:11" ht="12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</row>
    <row r="52" spans="1:11" ht="12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4"/>
    </row>
    <row r="53" spans="1:11" ht="12">
      <c r="A53" s="152"/>
      <c r="B53" s="152"/>
      <c r="C53" s="152"/>
      <c r="D53" s="152"/>
      <c r="E53" s="152"/>
      <c r="F53" s="152"/>
      <c r="G53" s="152"/>
      <c r="H53" s="152"/>
      <c r="I53" s="152"/>
      <c r="J53" s="152"/>
      <c r="K53" s="154"/>
    </row>
    <row r="54" spans="1:11" ht="12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4"/>
    </row>
    <row r="55" spans="1:11" ht="12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</row>
    <row r="56" spans="1:11" ht="12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152"/>
    </row>
    <row r="57" spans="1:11" ht="12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4"/>
    </row>
    <row r="58" spans="1:11" ht="12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4"/>
    </row>
    <row r="59" spans="1:11" ht="12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154"/>
    </row>
    <row r="60" spans="1:11" ht="12">
      <c r="A60" s="152"/>
      <c r="B60" s="152"/>
      <c r="C60" s="152"/>
      <c r="D60" s="152"/>
      <c r="E60" s="152"/>
      <c r="F60" s="152"/>
      <c r="G60" s="152"/>
      <c r="H60" s="152"/>
      <c r="I60" s="152"/>
      <c r="J60" s="152"/>
      <c r="K60" s="152"/>
    </row>
    <row r="61" spans="1:11" ht="12">
      <c r="A61" s="152"/>
      <c r="B61" s="152"/>
      <c r="C61" s="152"/>
      <c r="D61" s="152"/>
      <c r="E61" s="152"/>
      <c r="F61" s="152"/>
      <c r="G61" s="152"/>
      <c r="H61" s="152"/>
      <c r="I61" s="152"/>
      <c r="J61" s="152"/>
      <c r="K61" s="152"/>
    </row>
    <row r="62" spans="1:11" ht="12">
      <c r="A62" s="152"/>
      <c r="B62" s="152"/>
      <c r="C62" s="152"/>
      <c r="D62" s="152"/>
      <c r="E62" s="152"/>
      <c r="F62" s="152"/>
      <c r="G62" s="152"/>
      <c r="H62" s="152"/>
      <c r="I62" s="152"/>
      <c r="J62" s="152"/>
      <c r="K62" s="154"/>
    </row>
    <row r="63" spans="1:11" ht="12">
      <c r="A63" s="152"/>
      <c r="B63" s="152"/>
      <c r="C63" s="152"/>
      <c r="D63" s="152"/>
      <c r="E63" s="152"/>
      <c r="F63" s="152"/>
      <c r="G63" s="152"/>
      <c r="H63" s="152"/>
      <c r="I63" s="152"/>
      <c r="J63" s="152"/>
      <c r="K63" s="154"/>
    </row>
    <row r="64" spans="1:11" ht="12">
      <c r="A64" s="152"/>
      <c r="B64" s="152"/>
      <c r="C64" s="152"/>
      <c r="D64" s="152"/>
      <c r="E64" s="152"/>
      <c r="F64" s="152"/>
      <c r="G64" s="152"/>
      <c r="H64" s="152"/>
      <c r="I64" s="152"/>
      <c r="J64" s="152"/>
      <c r="K64" s="154"/>
    </row>
    <row r="71" spans="8:10" ht="12">
      <c r="H71" s="155"/>
      <c r="I71" s="155"/>
      <c r="J71" s="155"/>
    </row>
    <row r="73" ht="4.5" customHeight="1"/>
    <row r="75" ht="4.5" customHeight="1"/>
    <row r="77" ht="4.5" customHeight="1"/>
    <row r="79" ht="4.5" customHeight="1"/>
    <row r="83" ht="4.5" customHeight="1"/>
    <row r="87" ht="4.5" customHeight="1"/>
    <row r="92" ht="12">
      <c r="G92" s="156"/>
    </row>
    <row r="93" ht="12">
      <c r="G93" s="156"/>
    </row>
    <row r="94" ht="12">
      <c r="G94" s="156"/>
    </row>
    <row r="100" ht="4.5" customHeight="1"/>
    <row r="104" ht="4.5" customHeight="1"/>
    <row r="105" spans="2:4" ht="12">
      <c r="B105" s="157"/>
      <c r="C105" s="157"/>
      <c r="D105" s="157"/>
    </row>
  </sheetData>
  <mergeCells count="6">
    <mergeCell ref="B3:K3"/>
    <mergeCell ref="A6:A8"/>
    <mergeCell ref="B6:J6"/>
    <mergeCell ref="K6:K8"/>
    <mergeCell ref="B7:G7"/>
    <mergeCell ref="H7:J7"/>
  </mergeCells>
  <hyperlinks>
    <hyperlink ref="L9" r:id="rId1" display="=@npv(L8,K9)"/>
    <hyperlink ref="M9" r:id="rId2" display="=@npv(L8,K9)"/>
    <hyperlink ref="L10:L29" r:id="rId3" display="=@npv(L8,K9)"/>
    <hyperlink ref="M10:M29" r:id="rId4" display="=@npv(L8,K9)"/>
  </hyperlinks>
  <printOptions/>
  <pageMargins left="0.75" right="0.75" top="1" bottom="1" header="0.5" footer="0.5"/>
  <pageSetup fitToHeight="1" fitToWidth="1" horizontalDpi="600" verticalDpi="600" orientation="landscape" scale="76" r:id="rId5"/>
  <headerFooter alignWithMargins="0">
    <oddFooter>&amp;L&amp;"Braggadocio,Regular"CSP&amp;X2&amp;RPage &amp;P of &amp;N</oddFooter>
  </headerFooter>
  <ignoredErrors>
    <ignoredError sqref="K24:K2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6"/>
  <sheetViews>
    <sheetView zoomScale="75" zoomScaleNormal="75" workbookViewId="0" topLeftCell="A1">
      <selection activeCell="B3" sqref="B3:K3"/>
    </sheetView>
  </sheetViews>
  <sheetFormatPr defaultColWidth="9.140625" defaultRowHeight="12.75"/>
  <cols>
    <col min="1" max="1" width="15.421875" style="147" customWidth="1"/>
    <col min="2" max="4" width="11.7109375" style="147" customWidth="1"/>
    <col min="5" max="6" width="12.7109375" style="147" customWidth="1"/>
    <col min="7" max="7" width="11.7109375" style="147" bestFit="1" customWidth="1"/>
    <col min="8" max="10" width="11.7109375" style="147" customWidth="1"/>
    <col min="11" max="11" width="14.28125" style="147" customWidth="1"/>
    <col min="12" max="13" width="12.7109375" style="147" bestFit="1" customWidth="1"/>
    <col min="14" max="156" width="11.00390625" style="147" bestFit="1" customWidth="1"/>
    <col min="157" max="157" width="12.00390625" style="147" bestFit="1" customWidth="1"/>
    <col min="158" max="16384" width="8.00390625" style="147" customWidth="1"/>
  </cols>
  <sheetData>
    <row r="1" spans="1:11" ht="12">
      <c r="A1" s="144"/>
      <c r="B1" s="145" t="s">
        <v>490</v>
      </c>
      <c r="C1" s="145"/>
      <c r="D1" s="145"/>
      <c r="E1" s="146"/>
      <c r="F1" s="146"/>
      <c r="G1" s="146"/>
      <c r="H1" s="146"/>
      <c r="I1" s="146"/>
      <c r="J1" s="146"/>
      <c r="K1" s="146"/>
    </row>
    <row r="2" spans="2:11" ht="12">
      <c r="B2" s="145" t="s">
        <v>527</v>
      </c>
      <c r="C2" s="145"/>
      <c r="D2" s="145"/>
      <c r="E2" s="146"/>
      <c r="F2" s="146"/>
      <c r="G2" s="146"/>
      <c r="H2" s="146"/>
      <c r="I2" s="146"/>
      <c r="J2" s="146"/>
      <c r="K2" s="146"/>
    </row>
    <row r="3" spans="2:11" ht="12">
      <c r="B3" s="549" t="s">
        <v>524</v>
      </c>
      <c r="C3" s="549"/>
      <c r="D3" s="549"/>
      <c r="E3" s="550"/>
      <c r="F3" s="550"/>
      <c r="G3" s="550"/>
      <c r="H3" s="550"/>
      <c r="I3" s="550"/>
      <c r="J3" s="550"/>
      <c r="K3" s="550"/>
    </row>
    <row r="4" spans="2:11" ht="12">
      <c r="B4" s="145"/>
      <c r="C4" s="145"/>
      <c r="D4" s="145"/>
      <c r="E4" s="146"/>
      <c r="F4" s="146"/>
      <c r="G4" s="146"/>
      <c r="H4" s="146"/>
      <c r="I4" s="146"/>
      <c r="J4" s="146"/>
      <c r="K4" s="146"/>
    </row>
    <row r="6" spans="1:13" ht="12">
      <c r="A6" s="551" t="s">
        <v>95</v>
      </c>
      <c r="B6" s="553" t="s">
        <v>118</v>
      </c>
      <c r="C6" s="553"/>
      <c r="D6" s="553"/>
      <c r="E6" s="553"/>
      <c r="F6" s="553"/>
      <c r="G6" s="553"/>
      <c r="H6" s="554"/>
      <c r="I6" s="554"/>
      <c r="J6" s="554"/>
      <c r="K6" s="555" t="s">
        <v>98</v>
      </c>
      <c r="L6" s="148" t="s">
        <v>119</v>
      </c>
      <c r="M6" s="149" t="s">
        <v>120</v>
      </c>
    </row>
    <row r="7" spans="1:13" ht="12.75">
      <c r="A7" s="552"/>
      <c r="B7" s="558" t="s">
        <v>93</v>
      </c>
      <c r="C7" s="559"/>
      <c r="D7" s="559"/>
      <c r="E7" s="559"/>
      <c r="F7" s="559"/>
      <c r="G7" s="560"/>
      <c r="H7" s="561" t="s">
        <v>94</v>
      </c>
      <c r="I7" s="562"/>
      <c r="J7" s="563"/>
      <c r="K7" s="556"/>
      <c r="L7" s="150" t="s">
        <v>121</v>
      </c>
      <c r="M7" s="151" t="s">
        <v>122</v>
      </c>
    </row>
    <row r="8" spans="1:13" ht="36">
      <c r="A8" s="552"/>
      <c r="B8" s="158" t="s">
        <v>135</v>
      </c>
      <c r="C8" s="159" t="s">
        <v>491</v>
      </c>
      <c r="D8" s="159" t="s">
        <v>142</v>
      </c>
      <c r="E8" s="160" t="s">
        <v>126</v>
      </c>
      <c r="F8" s="158" t="s">
        <v>31</v>
      </c>
      <c r="G8" s="158" t="s">
        <v>96</v>
      </c>
      <c r="H8" s="159" t="s">
        <v>123</v>
      </c>
      <c r="I8" s="158" t="s">
        <v>124</v>
      </c>
      <c r="J8" s="158" t="s">
        <v>125</v>
      </c>
      <c r="K8" s="557"/>
      <c r="L8" s="161">
        <v>0.03</v>
      </c>
      <c r="M8" s="162">
        <v>0.05</v>
      </c>
    </row>
    <row r="9" spans="1:13" ht="12">
      <c r="A9" s="165">
        <v>0</v>
      </c>
      <c r="B9" s="166">
        <f>'Capital Cost Estimate'!$W$423/2</f>
        <v>244435.00000000003</v>
      </c>
      <c r="C9" s="166">
        <f>'Capital Cost Estimate'!$W$428/2</f>
        <v>117483.67800000001</v>
      </c>
      <c r="D9" s="166">
        <f>'Capital Cost Estimate'!$W$433</f>
        <v>448200</v>
      </c>
      <c r="E9" s="166">
        <f>'Capital Cost Estimate'!$W$449/2</f>
        <v>1113454.462</v>
      </c>
      <c r="F9" s="166">
        <f>'Capital Cost Estimate'!$W$454</f>
        <v>0</v>
      </c>
      <c r="G9" s="166">
        <f>'Capital Cost Estimate'!$W$456/7</f>
        <v>59285.7142857143</v>
      </c>
      <c r="H9" s="166">
        <f>'Operating Cost Estimate'!$L$61/7</f>
        <v>448200.00000000006</v>
      </c>
      <c r="I9" s="166">
        <f>'Operating Cost Estimate'!$L$62</f>
        <v>0</v>
      </c>
      <c r="J9" s="166">
        <f>('Operating Cost Estimate'!$L$64/22)+('Operating Cost Estimate'!$L$65/8)+('Operating Cost Estimate'!$L$66/8)</f>
        <v>225033.75000000003</v>
      </c>
      <c r="K9" s="167">
        <f>SUM(B9:J9)</f>
        <v>2656092.6042857147</v>
      </c>
      <c r="L9" s="168">
        <f aca="true" t="shared" si="0" ref="L9:L30">($K9*((1+L$8)^A9))</f>
        <v>2656092.6042857147</v>
      </c>
      <c r="M9" s="168">
        <f aca="true" t="shared" si="1" ref="M9:M30">K9*((1+L$8-M$8)^A9)</f>
        <v>2656092.6042857147</v>
      </c>
    </row>
    <row r="10" spans="1:13" ht="12">
      <c r="A10" s="165">
        <f>1+A9</f>
        <v>1</v>
      </c>
      <c r="B10" s="166">
        <f>'Capital Cost Estimate'!$W$423/2</f>
        <v>244435.00000000003</v>
      </c>
      <c r="C10" s="166">
        <f>'Capital Cost Estimate'!$W$428/2</f>
        <v>117483.67800000001</v>
      </c>
      <c r="D10" s="166"/>
      <c r="E10" s="166">
        <f>'Capital Cost Estimate'!$W$449/2</f>
        <v>1113454.462</v>
      </c>
      <c r="F10" s="166"/>
      <c r="G10" s="166">
        <f>'Capital Cost Estimate'!$W$456/7</f>
        <v>59285.7142857143</v>
      </c>
      <c r="H10" s="166">
        <f>'Operating Cost Estimate'!$L$61/7</f>
        <v>448200.00000000006</v>
      </c>
      <c r="I10" s="166"/>
      <c r="J10" s="166">
        <f>('Operating Cost Estimate'!$L$64/22)+('Operating Cost Estimate'!$L$65/8)+('Operating Cost Estimate'!$L$66/8)</f>
        <v>225033.75000000003</v>
      </c>
      <c r="K10" s="167">
        <f aca="true" t="shared" si="2" ref="K10:K30">SUM(B10:J10)</f>
        <v>2207892.6042857147</v>
      </c>
      <c r="L10" s="168">
        <f t="shared" si="0"/>
        <v>2274129.382414286</v>
      </c>
      <c r="M10" s="168">
        <f t="shared" si="1"/>
        <v>2163734.7522000005</v>
      </c>
    </row>
    <row r="11" spans="1:13" ht="12">
      <c r="A11" s="165">
        <f>1+A10</f>
        <v>2</v>
      </c>
      <c r="B11" s="166"/>
      <c r="C11" s="166"/>
      <c r="D11" s="166"/>
      <c r="E11" s="166"/>
      <c r="F11" s="166"/>
      <c r="G11" s="166">
        <f>'Capital Cost Estimate'!$W$456/7</f>
        <v>59285.7142857143</v>
      </c>
      <c r="H11" s="166">
        <f>'Operating Cost Estimate'!$L$61/7</f>
        <v>448200.00000000006</v>
      </c>
      <c r="I11" s="166"/>
      <c r="J11" s="166">
        <f>('Operating Cost Estimate'!$L$64/22)+('Operating Cost Estimate'!$L$65/8)+('Operating Cost Estimate'!$L$66/8)</f>
        <v>225033.75000000003</v>
      </c>
      <c r="K11" s="167">
        <f t="shared" si="2"/>
        <v>732519.4642857144</v>
      </c>
      <c r="L11" s="168">
        <f t="shared" si="0"/>
        <v>777129.8996607144</v>
      </c>
      <c r="M11" s="168">
        <f t="shared" si="1"/>
        <v>703511.6935</v>
      </c>
    </row>
    <row r="12" spans="1:13" ht="12">
      <c r="A12" s="165">
        <v>3</v>
      </c>
      <c r="B12" s="419"/>
      <c r="C12" s="166"/>
      <c r="D12" s="166"/>
      <c r="E12" s="166"/>
      <c r="F12" s="166"/>
      <c r="G12" s="166">
        <f>'Capital Cost Estimate'!$W$456/7</f>
        <v>59285.7142857143</v>
      </c>
      <c r="H12" s="166">
        <f>'Operating Cost Estimate'!$L$61/7</f>
        <v>448200.00000000006</v>
      </c>
      <c r="I12" s="166"/>
      <c r="J12" s="166">
        <f>('Operating Cost Estimate'!$L$64/22)+('Operating Cost Estimate'!$L$65/8)+('Operating Cost Estimate'!$L$66/8)</f>
        <v>225033.75000000003</v>
      </c>
      <c r="K12" s="167">
        <f t="shared" si="2"/>
        <v>732519.4642857144</v>
      </c>
      <c r="L12" s="168">
        <f t="shared" si="0"/>
        <v>800443.7966505359</v>
      </c>
      <c r="M12" s="168">
        <f t="shared" si="1"/>
        <v>689441.45963</v>
      </c>
    </row>
    <row r="13" spans="1:13" ht="12">
      <c r="A13" s="165">
        <v>4</v>
      </c>
      <c r="B13" s="419"/>
      <c r="C13" s="166"/>
      <c r="D13" s="166"/>
      <c r="E13" s="166"/>
      <c r="F13" s="166"/>
      <c r="G13" s="166">
        <f>'Capital Cost Estimate'!$W$456/7</f>
        <v>59285.7142857143</v>
      </c>
      <c r="H13" s="166">
        <f>'Operating Cost Estimate'!$L$61/7</f>
        <v>448200.00000000006</v>
      </c>
      <c r="I13" s="166"/>
      <c r="J13" s="166">
        <f>('Operating Cost Estimate'!$L$64/22)+('Operating Cost Estimate'!$L$65/8)+('Operating Cost Estimate'!$L$66/8)</f>
        <v>225033.75000000003</v>
      </c>
      <c r="K13" s="167">
        <f t="shared" si="2"/>
        <v>732519.4642857144</v>
      </c>
      <c r="L13" s="168">
        <f t="shared" si="0"/>
        <v>824457.1105500519</v>
      </c>
      <c r="M13" s="168">
        <f t="shared" si="1"/>
        <v>675652.6304374001</v>
      </c>
    </row>
    <row r="14" spans="1:13" ht="12">
      <c r="A14" s="165">
        <v>5</v>
      </c>
      <c r="C14" s="420"/>
      <c r="D14" s="166"/>
      <c r="E14" s="166"/>
      <c r="F14" s="166"/>
      <c r="G14" s="166">
        <f>'Capital Cost Estimate'!$W$456/7</f>
        <v>59285.7142857143</v>
      </c>
      <c r="H14" s="166">
        <f>'Operating Cost Estimate'!$L$61/7</f>
        <v>448200.00000000006</v>
      </c>
      <c r="I14" s="166"/>
      <c r="J14" s="166">
        <f>('Operating Cost Estimate'!$L$64/22)</f>
        <v>33200.00000000001</v>
      </c>
      <c r="K14" s="167">
        <f t="shared" si="2"/>
        <v>540685.7142857144</v>
      </c>
      <c r="L14" s="168">
        <f t="shared" si="0"/>
        <v>626802.9309158059</v>
      </c>
      <c r="M14" s="168">
        <f t="shared" si="1"/>
        <v>488737.06167552003</v>
      </c>
    </row>
    <row r="15" spans="1:13" ht="12">
      <c r="A15" s="165">
        <v>6</v>
      </c>
      <c r="B15" s="419"/>
      <c r="C15" s="166"/>
      <c r="D15" s="166"/>
      <c r="E15" s="166"/>
      <c r="F15" s="166"/>
      <c r="G15" s="166">
        <f>'Capital Cost Estimate'!$W$456/7</f>
        <v>59285.7142857143</v>
      </c>
      <c r="H15" s="166">
        <f>'Operating Cost Estimate'!$L$61/7</f>
        <v>448200.00000000006</v>
      </c>
      <c r="I15" s="166"/>
      <c r="J15" s="166">
        <f>('Operating Cost Estimate'!$L$64/22)</f>
        <v>33200.00000000001</v>
      </c>
      <c r="K15" s="167">
        <f t="shared" si="2"/>
        <v>540685.7142857144</v>
      </c>
      <c r="L15" s="168">
        <f t="shared" si="0"/>
        <v>645607.01884328</v>
      </c>
      <c r="M15" s="168">
        <f t="shared" si="1"/>
        <v>478962.3204420096</v>
      </c>
    </row>
    <row r="16" spans="1:13" ht="12">
      <c r="A16" s="165">
        <v>7</v>
      </c>
      <c r="B16" s="419"/>
      <c r="C16" s="166"/>
      <c r="D16" s="166"/>
      <c r="E16" s="166"/>
      <c r="F16" s="166"/>
      <c r="G16" s="166"/>
      <c r="H16" s="166"/>
      <c r="I16" s="166"/>
      <c r="J16" s="166">
        <f>('Operating Cost Estimate'!$L$64/22)</f>
        <v>33200.00000000001</v>
      </c>
      <c r="K16" s="167">
        <f t="shared" si="2"/>
        <v>33200.00000000001</v>
      </c>
      <c r="L16" s="168">
        <f t="shared" si="0"/>
        <v>40831.81233210569</v>
      </c>
      <c r="M16" s="168">
        <f t="shared" si="1"/>
        <v>28821.767703791105</v>
      </c>
    </row>
    <row r="17" spans="1:13" ht="12">
      <c r="A17" s="165">
        <v>8</v>
      </c>
      <c r="B17" s="166"/>
      <c r="C17" s="166"/>
      <c r="D17" s="166"/>
      <c r="E17" s="166"/>
      <c r="F17" s="166"/>
      <c r="G17" s="166"/>
      <c r="H17" s="166"/>
      <c r="I17" s="166"/>
      <c r="J17" s="166">
        <f>('Operating Cost Estimate'!$L$64/22)</f>
        <v>33200.00000000001</v>
      </c>
      <c r="K17" s="167">
        <f t="shared" si="2"/>
        <v>33200.00000000001</v>
      </c>
      <c r="L17" s="168">
        <f t="shared" si="0"/>
        <v>42056.76670206886</v>
      </c>
      <c r="M17" s="168">
        <f t="shared" si="1"/>
        <v>28245.33234971528</v>
      </c>
    </row>
    <row r="18" spans="1:13" ht="12">
      <c r="A18" s="165">
        <v>9</v>
      </c>
      <c r="B18" s="166"/>
      <c r="C18" s="166"/>
      <c r="D18" s="166"/>
      <c r="E18" s="166"/>
      <c r="F18" s="166"/>
      <c r="G18" s="166"/>
      <c r="H18" s="166"/>
      <c r="I18" s="166"/>
      <c r="J18" s="166">
        <f>('Operating Cost Estimate'!$L$64/22)+('Operating Cost Estimate'!$L$65/8)+('Operating Cost Estimate'!$L$66/8)</f>
        <v>225033.75000000003</v>
      </c>
      <c r="K18" s="167">
        <f t="shared" si="2"/>
        <v>225033.75000000003</v>
      </c>
      <c r="L18" s="168">
        <f t="shared" si="0"/>
        <v>293618.0024565343</v>
      </c>
      <c r="M18" s="168">
        <f t="shared" si="1"/>
        <v>187621.3854662556</v>
      </c>
    </row>
    <row r="19" spans="1:13" ht="12">
      <c r="A19" s="165">
        <v>10</v>
      </c>
      <c r="B19" s="166"/>
      <c r="C19" s="166"/>
      <c r="D19" s="166"/>
      <c r="E19" s="166"/>
      <c r="F19" s="166"/>
      <c r="G19" s="166"/>
      <c r="H19" s="166"/>
      <c r="I19" s="166"/>
      <c r="J19" s="166">
        <f>('Operating Cost Estimate'!$L$64/22)</f>
        <v>33200.00000000001</v>
      </c>
      <c r="K19" s="167">
        <f t="shared" si="2"/>
        <v>33200.00000000001</v>
      </c>
      <c r="L19" s="168">
        <f t="shared" si="0"/>
        <v>44618.02379422485</v>
      </c>
      <c r="M19" s="168">
        <f t="shared" si="1"/>
        <v>27126.81718866655</v>
      </c>
    </row>
    <row r="20" spans="1:13" ht="12">
      <c r="A20" s="165">
        <v>11</v>
      </c>
      <c r="B20" s="166"/>
      <c r="C20" s="166"/>
      <c r="D20" s="166"/>
      <c r="E20" s="166"/>
      <c r="F20" s="166"/>
      <c r="G20" s="166"/>
      <c r="H20" s="166"/>
      <c r="I20" s="166"/>
      <c r="J20" s="166">
        <f>('Operating Cost Estimate'!$L$64/22)</f>
        <v>33200.00000000001</v>
      </c>
      <c r="K20" s="167">
        <f t="shared" si="2"/>
        <v>33200.00000000001</v>
      </c>
      <c r="L20" s="168">
        <f t="shared" si="0"/>
        <v>45956.5645080516</v>
      </c>
      <c r="M20" s="168">
        <f t="shared" si="1"/>
        <v>26584.28084489322</v>
      </c>
    </row>
    <row r="21" spans="1:13" ht="12">
      <c r="A21" s="165">
        <v>12</v>
      </c>
      <c r="B21" s="166"/>
      <c r="C21" s="166"/>
      <c r="D21" s="166"/>
      <c r="E21" s="166"/>
      <c r="F21" s="166"/>
      <c r="G21" s="166"/>
      <c r="H21" s="166"/>
      <c r="I21" s="166"/>
      <c r="J21" s="166">
        <f>('Operating Cost Estimate'!$L$64/22)</f>
        <v>33200.00000000001</v>
      </c>
      <c r="K21" s="167">
        <f t="shared" si="2"/>
        <v>33200.00000000001</v>
      </c>
      <c r="L21" s="168">
        <f t="shared" si="0"/>
        <v>47335.261443293144</v>
      </c>
      <c r="M21" s="168">
        <f t="shared" si="1"/>
        <v>26052.595227995356</v>
      </c>
    </row>
    <row r="22" spans="1:13" ht="12">
      <c r="A22" s="165">
        <v>13</v>
      </c>
      <c r="B22" s="166"/>
      <c r="C22" s="166"/>
      <c r="D22" s="166"/>
      <c r="E22" s="166"/>
      <c r="F22" s="166"/>
      <c r="G22" s="166"/>
      <c r="H22" s="166"/>
      <c r="I22" s="166"/>
      <c r="J22" s="166">
        <f>('Operating Cost Estimate'!$L$64/22)</f>
        <v>33200.00000000001</v>
      </c>
      <c r="K22" s="167">
        <f t="shared" si="2"/>
        <v>33200.00000000001</v>
      </c>
      <c r="L22" s="168">
        <f t="shared" si="0"/>
        <v>48755.31928659193</v>
      </c>
      <c r="M22" s="168">
        <f t="shared" si="1"/>
        <v>25531.54332343545</v>
      </c>
    </row>
    <row r="23" spans="1:13" ht="12">
      <c r="A23" s="165">
        <v>14</v>
      </c>
      <c r="B23" s="166"/>
      <c r="C23" s="166"/>
      <c r="D23" s="166"/>
      <c r="E23" s="166"/>
      <c r="F23" s="166"/>
      <c r="G23" s="166"/>
      <c r="H23" s="166"/>
      <c r="I23" s="166"/>
      <c r="J23" s="166">
        <f>('Operating Cost Estimate'!$L$64/22)+('Operating Cost Estimate'!$L$65/8)+('Operating Cost Estimate'!$L$66/8)</f>
        <v>225033.75000000003</v>
      </c>
      <c r="K23" s="167">
        <f t="shared" si="2"/>
        <v>225033.75000000003</v>
      </c>
      <c r="L23" s="168">
        <f t="shared" si="0"/>
        <v>340383.7379956139</v>
      </c>
      <c r="M23" s="168">
        <f t="shared" si="1"/>
        <v>169594.87224737767</v>
      </c>
    </row>
    <row r="24" spans="1:13" ht="12">
      <c r="A24" s="165">
        <v>15</v>
      </c>
      <c r="B24" s="166"/>
      <c r="C24" s="166"/>
      <c r="D24" s="166"/>
      <c r="E24" s="166"/>
      <c r="F24" s="166"/>
      <c r="G24" s="166"/>
      <c r="H24" s="166"/>
      <c r="I24" s="166"/>
      <c r="J24" s="166">
        <f>('Operating Cost Estimate'!$L$64/22)</f>
        <v>33200.00000000001</v>
      </c>
      <c r="K24" s="167">
        <f t="shared" si="2"/>
        <v>33200.00000000001</v>
      </c>
      <c r="L24" s="168">
        <f t="shared" si="0"/>
        <v>51724.51823114539</v>
      </c>
      <c r="M24" s="168">
        <f t="shared" si="1"/>
        <v>24520.494207827403</v>
      </c>
    </row>
    <row r="25" spans="1:13" ht="12">
      <c r="A25" s="165">
        <v>16</v>
      </c>
      <c r="B25" s="166"/>
      <c r="C25" s="166"/>
      <c r="D25" s="166"/>
      <c r="E25" s="166"/>
      <c r="F25" s="166"/>
      <c r="G25" s="166"/>
      <c r="H25" s="166"/>
      <c r="I25" s="166"/>
      <c r="J25" s="166">
        <f>('Operating Cost Estimate'!$L$64/22)</f>
        <v>33200.00000000001</v>
      </c>
      <c r="K25" s="167">
        <f t="shared" si="2"/>
        <v>33200.00000000001</v>
      </c>
      <c r="L25" s="168">
        <f t="shared" si="0"/>
        <v>53276.25377807974</v>
      </c>
      <c r="M25" s="168">
        <f t="shared" si="1"/>
        <v>24030.084323670853</v>
      </c>
    </row>
    <row r="26" spans="1:13" ht="12">
      <c r="A26" s="165">
        <v>17</v>
      </c>
      <c r="B26" s="166"/>
      <c r="C26" s="166"/>
      <c r="D26" s="166"/>
      <c r="E26" s="166"/>
      <c r="F26" s="166"/>
      <c r="G26" s="166"/>
      <c r="H26" s="166"/>
      <c r="I26" s="166"/>
      <c r="J26" s="166">
        <f>('Operating Cost Estimate'!$L$64/22)</f>
        <v>33200.00000000001</v>
      </c>
      <c r="K26" s="167">
        <f t="shared" si="2"/>
        <v>33200.00000000001</v>
      </c>
      <c r="L26" s="168">
        <f t="shared" si="0"/>
        <v>54874.541391422135</v>
      </c>
      <c r="M26" s="168">
        <f t="shared" si="1"/>
        <v>23549.482637197438</v>
      </c>
    </row>
    <row r="27" spans="1:13" ht="12">
      <c r="A27" s="165">
        <v>18</v>
      </c>
      <c r="B27" s="166"/>
      <c r="C27" s="166"/>
      <c r="D27" s="166"/>
      <c r="E27" s="166"/>
      <c r="F27" s="166"/>
      <c r="G27" s="166"/>
      <c r="H27" s="166"/>
      <c r="I27" s="166"/>
      <c r="J27" s="166">
        <f>('Operating Cost Estimate'!$L$64/22)</f>
        <v>33200.00000000001</v>
      </c>
      <c r="K27" s="167">
        <f t="shared" si="2"/>
        <v>33200.00000000001</v>
      </c>
      <c r="L27" s="168">
        <f t="shared" si="0"/>
        <v>56520.7776331648</v>
      </c>
      <c r="M27" s="168">
        <f t="shared" si="1"/>
        <v>23078.49298445349</v>
      </c>
    </row>
    <row r="28" spans="1:13" ht="12">
      <c r="A28" s="165">
        <v>19</v>
      </c>
      <c r="B28" s="166"/>
      <c r="C28" s="166"/>
      <c r="D28" s="166"/>
      <c r="E28" s="166"/>
      <c r="F28" s="166"/>
      <c r="G28" s="166"/>
      <c r="H28" s="166"/>
      <c r="I28" s="166"/>
      <c r="J28" s="166">
        <f>('Operating Cost Estimate'!$L$64/22)+('Operating Cost Estimate'!$L$65/8)+('Operating Cost Estimate'!$L$66/8)</f>
        <v>225033.75000000003</v>
      </c>
      <c r="K28" s="167">
        <f t="shared" si="2"/>
        <v>225033.75000000003</v>
      </c>
      <c r="L28" s="168">
        <f t="shared" si="0"/>
        <v>394598.04277163895</v>
      </c>
      <c r="M28" s="168">
        <f t="shared" si="1"/>
        <v>153300.3320550438</v>
      </c>
    </row>
    <row r="29" spans="1:13" ht="12">
      <c r="A29" s="165">
        <v>20</v>
      </c>
      <c r="B29" s="166"/>
      <c r="C29" s="166"/>
      <c r="D29" s="166"/>
      <c r="E29" s="166"/>
      <c r="F29" s="166"/>
      <c r="G29" s="166"/>
      <c r="H29" s="166"/>
      <c r="I29" s="166"/>
      <c r="J29" s="166">
        <f>('Operating Cost Estimate'!$L$64/22)</f>
        <v>33200.00000000001</v>
      </c>
      <c r="K29" s="167">
        <f t="shared" si="2"/>
        <v>33200.00000000001</v>
      </c>
      <c r="L29" s="168">
        <f t="shared" si="0"/>
        <v>59962.892991024535</v>
      </c>
      <c r="M29" s="168">
        <f t="shared" si="1"/>
        <v>22164.584662269128</v>
      </c>
    </row>
    <row r="30" spans="1:13" ht="12">
      <c r="A30" s="165">
        <v>21</v>
      </c>
      <c r="B30" s="166"/>
      <c r="C30" s="166"/>
      <c r="D30" s="166"/>
      <c r="E30" s="166"/>
      <c r="F30" s="166"/>
      <c r="G30" s="166"/>
      <c r="H30" s="166"/>
      <c r="I30" s="166"/>
      <c r="J30" s="166">
        <f>('Operating Cost Estimate'!$L$64/22)</f>
        <v>33200.00000000001</v>
      </c>
      <c r="K30" s="167">
        <f t="shared" si="2"/>
        <v>33200.00000000001</v>
      </c>
      <c r="L30" s="168">
        <f t="shared" si="0"/>
        <v>61761.77978075526</v>
      </c>
      <c r="M30" s="168">
        <f t="shared" si="1"/>
        <v>21721.292969023747</v>
      </c>
    </row>
    <row r="31" spans="1:13" ht="12">
      <c r="A31" s="163" t="s">
        <v>97</v>
      </c>
      <c r="B31" s="164">
        <f aca="true" t="shared" si="3" ref="B31:M31">SUM(B9:B30)</f>
        <v>488870.00000000006</v>
      </c>
      <c r="C31" s="164">
        <f t="shared" si="3"/>
        <v>234967.35600000003</v>
      </c>
      <c r="D31" s="164">
        <f t="shared" si="3"/>
        <v>448200</v>
      </c>
      <c r="E31" s="164">
        <f t="shared" si="3"/>
        <v>2226908.924</v>
      </c>
      <c r="F31" s="164">
        <f t="shared" si="3"/>
        <v>0</v>
      </c>
      <c r="G31" s="164">
        <f t="shared" si="3"/>
        <v>415000.0000000001</v>
      </c>
      <c r="H31" s="164">
        <f t="shared" si="3"/>
        <v>3137400.0000000005</v>
      </c>
      <c r="I31" s="164">
        <f t="shared" si="3"/>
        <v>0</v>
      </c>
      <c r="J31" s="164">
        <f t="shared" si="3"/>
        <v>2265070.0000000005</v>
      </c>
      <c r="K31" s="164">
        <f t="shared" si="3"/>
        <v>9216416.280000003</v>
      </c>
      <c r="L31" s="164">
        <f t="shared" si="3"/>
        <v>10240937.0384161</v>
      </c>
      <c r="M31" s="164">
        <f t="shared" si="3"/>
        <v>8668075.88036226</v>
      </c>
    </row>
    <row r="33" spans="2:13" ht="12"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M33" s="153"/>
    </row>
    <row r="34" spans="1:11" ht="12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</row>
    <row r="35" spans="1:11" ht="12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4"/>
    </row>
    <row r="36" spans="1:11" ht="12">
      <c r="A36" s="169"/>
      <c r="B36" s="152"/>
      <c r="C36" s="152"/>
      <c r="D36" s="152"/>
      <c r="E36" s="152"/>
      <c r="F36" s="152"/>
      <c r="G36" s="152"/>
      <c r="H36" s="152"/>
      <c r="I36" s="152"/>
      <c r="J36" s="152"/>
      <c r="K36" s="152"/>
    </row>
    <row r="37" spans="1:11" ht="12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</row>
    <row r="38" spans="1:11" ht="12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</row>
    <row r="39" spans="1:11" ht="12">
      <c r="A39" s="152"/>
      <c r="B39" s="152"/>
      <c r="C39" s="152"/>
      <c r="D39" s="152"/>
      <c r="E39" s="152"/>
      <c r="F39" s="152"/>
      <c r="G39" s="152"/>
      <c r="H39" s="152"/>
      <c r="I39" s="152"/>
      <c r="J39" s="152"/>
      <c r="K39" s="152"/>
    </row>
    <row r="40" spans="1:11" ht="12">
      <c r="A40" s="152"/>
      <c r="B40" s="152"/>
      <c r="C40" s="152"/>
      <c r="D40" s="152"/>
      <c r="E40" s="152"/>
      <c r="F40" s="152"/>
      <c r="G40" s="152"/>
      <c r="H40" s="152"/>
      <c r="I40" s="152"/>
      <c r="J40" s="152"/>
      <c r="K40" s="152"/>
    </row>
    <row r="41" spans="1:11" ht="12">
      <c r="A41" s="152"/>
      <c r="B41" s="152"/>
      <c r="C41" s="152"/>
      <c r="D41" s="152"/>
      <c r="E41" s="152"/>
      <c r="F41" s="152"/>
      <c r="G41" s="152"/>
      <c r="H41" s="152"/>
      <c r="I41" s="152"/>
      <c r="J41" s="152"/>
      <c r="K41" s="152"/>
    </row>
    <row r="42" spans="1:11" ht="12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</row>
    <row r="43" spans="1:11" ht="12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</row>
    <row r="44" spans="1:11" ht="12">
      <c r="A44" s="152"/>
      <c r="B44" s="152"/>
      <c r="C44" s="152"/>
      <c r="D44" s="152"/>
      <c r="E44" s="152"/>
      <c r="F44" s="152"/>
      <c r="G44" s="152"/>
      <c r="H44" s="152"/>
      <c r="I44" s="152"/>
      <c r="J44" s="152"/>
      <c r="K44" s="152"/>
    </row>
    <row r="45" spans="1:11" ht="12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</row>
    <row r="46" spans="1:11" ht="12">
      <c r="A46" s="152"/>
      <c r="B46" s="152"/>
      <c r="C46" s="152"/>
      <c r="D46" s="152"/>
      <c r="E46" s="152"/>
      <c r="F46" s="152"/>
      <c r="G46" s="152"/>
      <c r="H46" s="152"/>
      <c r="I46" s="152"/>
      <c r="J46" s="152"/>
      <c r="K46" s="152"/>
    </row>
    <row r="47" spans="1:11" ht="12">
      <c r="A47" s="152"/>
      <c r="B47" s="152"/>
      <c r="C47" s="152"/>
      <c r="D47" s="152"/>
      <c r="E47" s="152"/>
      <c r="F47" s="152"/>
      <c r="G47" s="152"/>
      <c r="H47" s="152"/>
      <c r="I47" s="152"/>
      <c r="J47" s="152"/>
      <c r="K47" s="152"/>
    </row>
    <row r="48" spans="1:11" ht="12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</row>
    <row r="49" spans="1:11" ht="12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</row>
    <row r="50" spans="1:11" ht="12">
      <c r="A50" s="152"/>
      <c r="B50" s="152"/>
      <c r="C50" s="152"/>
      <c r="D50" s="152"/>
      <c r="E50" s="152"/>
      <c r="F50" s="152"/>
      <c r="G50" s="152"/>
      <c r="H50" s="152"/>
      <c r="I50" s="152"/>
      <c r="J50" s="152"/>
      <c r="K50" s="152"/>
    </row>
    <row r="51" spans="1:11" ht="12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</row>
    <row r="52" spans="1:11" ht="12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2"/>
    </row>
    <row r="53" spans="1:11" ht="12">
      <c r="A53" s="152"/>
      <c r="B53" s="152"/>
      <c r="C53" s="152"/>
      <c r="D53" s="152"/>
      <c r="E53" s="152"/>
      <c r="F53" s="152"/>
      <c r="G53" s="152"/>
      <c r="H53" s="152"/>
      <c r="I53" s="152"/>
      <c r="J53" s="152"/>
      <c r="K53" s="154"/>
    </row>
    <row r="54" spans="1:11" ht="12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4"/>
    </row>
    <row r="55" spans="1:11" ht="12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4"/>
    </row>
    <row r="56" spans="1:11" ht="12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152"/>
    </row>
    <row r="57" spans="1:11" ht="12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</row>
    <row r="58" spans="1:11" ht="12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4"/>
    </row>
    <row r="59" spans="1:11" ht="12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154"/>
    </row>
    <row r="60" spans="1:11" ht="12">
      <c r="A60" s="152"/>
      <c r="B60" s="152"/>
      <c r="C60" s="152"/>
      <c r="D60" s="152"/>
      <c r="E60" s="152"/>
      <c r="F60" s="152"/>
      <c r="G60" s="152"/>
      <c r="H60" s="152"/>
      <c r="I60" s="152"/>
      <c r="J60" s="152"/>
      <c r="K60" s="154"/>
    </row>
    <row r="61" spans="1:11" ht="12">
      <c r="A61" s="152"/>
      <c r="B61" s="152"/>
      <c r="C61" s="152"/>
      <c r="D61" s="152"/>
      <c r="E61" s="152"/>
      <c r="F61" s="152"/>
      <c r="G61" s="152"/>
      <c r="H61" s="152"/>
      <c r="I61" s="152"/>
      <c r="J61" s="152"/>
      <c r="K61" s="152"/>
    </row>
    <row r="62" spans="1:11" ht="12">
      <c r="A62" s="152"/>
      <c r="B62" s="152"/>
      <c r="C62" s="152"/>
      <c r="D62" s="152"/>
      <c r="E62" s="152"/>
      <c r="F62" s="152"/>
      <c r="G62" s="152"/>
      <c r="H62" s="152"/>
      <c r="I62" s="152"/>
      <c r="J62" s="152"/>
      <c r="K62" s="152"/>
    </row>
    <row r="63" spans="1:11" ht="12">
      <c r="A63" s="152"/>
      <c r="B63" s="152"/>
      <c r="C63" s="152"/>
      <c r="D63" s="152"/>
      <c r="E63" s="152"/>
      <c r="F63" s="152"/>
      <c r="G63" s="152"/>
      <c r="H63" s="152"/>
      <c r="I63" s="152"/>
      <c r="J63" s="152"/>
      <c r="K63" s="154"/>
    </row>
    <row r="64" spans="1:11" ht="12">
      <c r="A64" s="152"/>
      <c r="B64" s="152"/>
      <c r="C64" s="152"/>
      <c r="D64" s="152"/>
      <c r="E64" s="152"/>
      <c r="F64" s="152"/>
      <c r="G64" s="152"/>
      <c r="H64" s="152"/>
      <c r="I64" s="152"/>
      <c r="J64" s="152"/>
      <c r="K64" s="154"/>
    </row>
    <row r="65" spans="1:11" ht="12">
      <c r="A65" s="152"/>
      <c r="B65" s="152"/>
      <c r="C65" s="152"/>
      <c r="D65" s="152"/>
      <c r="E65" s="152"/>
      <c r="F65" s="152"/>
      <c r="G65" s="152"/>
      <c r="H65" s="152"/>
      <c r="I65" s="152"/>
      <c r="J65" s="152"/>
      <c r="K65" s="154"/>
    </row>
    <row r="72" spans="8:10" ht="12">
      <c r="H72" s="155"/>
      <c r="I72" s="155"/>
      <c r="J72" s="155"/>
    </row>
    <row r="74" ht="4.5" customHeight="1"/>
    <row r="76" ht="4.5" customHeight="1"/>
    <row r="78" ht="4.5" customHeight="1"/>
    <row r="80" ht="4.5" customHeight="1"/>
    <row r="84" ht="4.5" customHeight="1"/>
    <row r="88" ht="4.5" customHeight="1"/>
    <row r="93" ht="12">
      <c r="G93" s="156"/>
    </row>
    <row r="94" ht="12">
      <c r="G94" s="156"/>
    </row>
    <row r="95" ht="12">
      <c r="G95" s="156"/>
    </row>
    <row r="101" ht="4.5" customHeight="1"/>
    <row r="105" ht="4.5" customHeight="1"/>
    <row r="106" spans="2:4" ht="12">
      <c r="B106" s="157"/>
      <c r="C106" s="157"/>
      <c r="D106" s="157"/>
    </row>
  </sheetData>
  <mergeCells count="6">
    <mergeCell ref="H7:J7"/>
    <mergeCell ref="A6:A8"/>
    <mergeCell ref="B3:K3"/>
    <mergeCell ref="B6:J6"/>
    <mergeCell ref="K6:K8"/>
    <mergeCell ref="B7:G7"/>
  </mergeCells>
  <hyperlinks>
    <hyperlink ref="L9" r:id="rId1" display="=@npv(L8,K9)"/>
    <hyperlink ref="M9" r:id="rId2" display="=@npv(L8,K9)"/>
  </hyperlinks>
  <printOptions/>
  <pageMargins left="0.75" right="0.75" top="1" bottom="1" header="0.5" footer="0.5"/>
  <pageSetup fitToHeight="1" fitToWidth="1" horizontalDpi="600" verticalDpi="600" orientation="landscape" scale="76" r:id="rId3"/>
  <headerFooter alignWithMargins="0">
    <oddFooter>&amp;L&amp;"Braggadocio,Regular"CSP&amp;X2&amp;RPage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9"/>
  <sheetViews>
    <sheetView zoomScale="75" zoomScaleNormal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13" sqref="J13"/>
    </sheetView>
  </sheetViews>
  <sheetFormatPr defaultColWidth="9.140625" defaultRowHeight="12.75"/>
  <cols>
    <col min="1" max="1" width="15.421875" style="147" customWidth="1"/>
    <col min="2" max="4" width="11.7109375" style="147" customWidth="1"/>
    <col min="5" max="6" width="12.7109375" style="147" customWidth="1"/>
    <col min="7" max="7" width="11.7109375" style="147" bestFit="1" customWidth="1"/>
    <col min="8" max="10" width="11.7109375" style="147" customWidth="1"/>
    <col min="11" max="11" width="14.28125" style="147" customWidth="1"/>
    <col min="12" max="13" width="12.7109375" style="147" bestFit="1" customWidth="1"/>
    <col min="14" max="156" width="11.00390625" style="147" bestFit="1" customWidth="1"/>
    <col min="157" max="157" width="12.00390625" style="147" bestFit="1" customWidth="1"/>
    <col min="158" max="16384" width="8.00390625" style="147" customWidth="1"/>
  </cols>
  <sheetData>
    <row r="1" spans="1:11" ht="12">
      <c r="A1" s="144"/>
      <c r="B1" s="145" t="s">
        <v>490</v>
      </c>
      <c r="C1" s="145"/>
      <c r="D1" s="145"/>
      <c r="E1" s="146"/>
      <c r="F1" s="146"/>
      <c r="G1" s="146"/>
      <c r="H1" s="146"/>
      <c r="I1" s="146"/>
      <c r="J1" s="146"/>
      <c r="K1" s="146"/>
    </row>
    <row r="2" spans="2:11" ht="12">
      <c r="B2" s="145" t="s">
        <v>528</v>
      </c>
      <c r="C2" s="145"/>
      <c r="D2" s="145"/>
      <c r="E2" s="146"/>
      <c r="F2" s="146"/>
      <c r="G2" s="146"/>
      <c r="H2" s="146"/>
      <c r="I2" s="146"/>
      <c r="J2" s="146"/>
      <c r="K2" s="146"/>
    </row>
    <row r="3" spans="2:11" ht="12">
      <c r="B3" s="549" t="s">
        <v>525</v>
      </c>
      <c r="C3" s="549"/>
      <c r="D3" s="549"/>
      <c r="E3" s="550"/>
      <c r="F3" s="550"/>
      <c r="G3" s="550"/>
      <c r="H3" s="550"/>
      <c r="I3" s="550"/>
      <c r="J3" s="550"/>
      <c r="K3" s="550"/>
    </row>
    <row r="4" spans="2:11" ht="12">
      <c r="B4" s="145"/>
      <c r="C4" s="145"/>
      <c r="D4" s="145"/>
      <c r="E4" s="146"/>
      <c r="F4" s="146"/>
      <c r="G4" s="146"/>
      <c r="H4" s="146"/>
      <c r="I4" s="146"/>
      <c r="J4" s="146"/>
      <c r="K4" s="146"/>
    </row>
    <row r="6" spans="1:13" ht="12">
      <c r="A6" s="551" t="s">
        <v>95</v>
      </c>
      <c r="B6" s="553" t="s">
        <v>118</v>
      </c>
      <c r="C6" s="553"/>
      <c r="D6" s="553"/>
      <c r="E6" s="553"/>
      <c r="F6" s="553"/>
      <c r="G6" s="553"/>
      <c r="H6" s="554"/>
      <c r="I6" s="554"/>
      <c r="J6" s="554"/>
      <c r="K6" s="555" t="s">
        <v>98</v>
      </c>
      <c r="L6" s="148" t="s">
        <v>119</v>
      </c>
      <c r="M6" s="149" t="s">
        <v>120</v>
      </c>
    </row>
    <row r="7" spans="1:13" ht="12.75">
      <c r="A7" s="552"/>
      <c r="B7" s="558" t="s">
        <v>93</v>
      </c>
      <c r="C7" s="559"/>
      <c r="D7" s="559"/>
      <c r="E7" s="559"/>
      <c r="F7" s="559"/>
      <c r="G7" s="560"/>
      <c r="H7" s="561" t="s">
        <v>94</v>
      </c>
      <c r="I7" s="562"/>
      <c r="J7" s="563"/>
      <c r="K7" s="556"/>
      <c r="L7" s="150" t="s">
        <v>121</v>
      </c>
      <c r="M7" s="151" t="s">
        <v>122</v>
      </c>
    </row>
    <row r="8" spans="1:13" ht="36">
      <c r="A8" s="552"/>
      <c r="B8" s="158" t="s">
        <v>135</v>
      </c>
      <c r="C8" s="159" t="s">
        <v>491</v>
      </c>
      <c r="D8" s="159" t="s">
        <v>142</v>
      </c>
      <c r="E8" s="160" t="s">
        <v>126</v>
      </c>
      <c r="F8" s="158" t="s">
        <v>31</v>
      </c>
      <c r="G8" s="158" t="s">
        <v>96</v>
      </c>
      <c r="H8" s="159" t="s">
        <v>123</v>
      </c>
      <c r="I8" s="158" t="s">
        <v>124</v>
      </c>
      <c r="J8" s="158" t="s">
        <v>125</v>
      </c>
      <c r="K8" s="557"/>
      <c r="L8" s="161">
        <v>0.03</v>
      </c>
      <c r="M8" s="162">
        <v>0.05</v>
      </c>
    </row>
    <row r="9" spans="1:13" ht="12">
      <c r="A9" s="165">
        <v>0</v>
      </c>
      <c r="B9" s="166">
        <f>'Capital Cost Estimate'!$AA$423/2</f>
        <v>244435.00000000003</v>
      </c>
      <c r="C9" s="166">
        <f>'Capital Cost Estimate'!$AA$428/2</f>
        <v>117483.67800000001</v>
      </c>
      <c r="D9" s="166">
        <f>'Capital Cost Estimate'!$AA$433</f>
        <v>448200</v>
      </c>
      <c r="E9" s="166">
        <f>'Capital Cost Estimate'!$AA$449/2</f>
        <v>1113454.462</v>
      </c>
      <c r="F9" s="166">
        <f>'Capital Cost Estimate'!$AA$454</f>
        <v>0</v>
      </c>
      <c r="G9" s="166">
        <f>'Capital Cost Estimate'!$AA$456/50</f>
        <v>22576</v>
      </c>
      <c r="H9" s="166">
        <f>'Operating Cost Estimate'!$N$61/50</f>
        <v>415800</v>
      </c>
      <c r="I9" s="166">
        <f>'Operating Cost Estimate'!$N$62</f>
        <v>0</v>
      </c>
      <c r="J9" s="166">
        <f>('Operating Cost Estimate'!$N$64/65)+('Operating Cost Estimate'!$N$65/17)+('Operating Cost Estimate'!$N$66/17)</f>
        <v>204231.17647058822</v>
      </c>
      <c r="K9" s="167">
        <f>SUM(B9:J9)</f>
        <v>2566180.3164705886</v>
      </c>
      <c r="L9" s="168">
        <f aca="true" t="shared" si="0" ref="L9:L30">($K9*((1+L$8)^A9))</f>
        <v>2566180.3164705886</v>
      </c>
      <c r="M9" s="168">
        <f aca="true" t="shared" si="1" ref="M9:M30">K9*((1+L$8-M$8)^A9)</f>
        <v>2566180.3164705886</v>
      </c>
    </row>
    <row r="10" spans="1:13" ht="12">
      <c r="A10" s="165">
        <f>1+A9</f>
        <v>1</v>
      </c>
      <c r="B10" s="166">
        <f>'Capital Cost Estimate'!$AA$423/2</f>
        <v>244435.00000000003</v>
      </c>
      <c r="C10" s="166">
        <f>'Capital Cost Estimate'!$AA$428/2</f>
        <v>117483.67800000001</v>
      </c>
      <c r="D10" s="166"/>
      <c r="E10" s="166">
        <f>'Capital Cost Estimate'!$AA$449/2</f>
        <v>1113454.462</v>
      </c>
      <c r="F10" s="166"/>
      <c r="G10" s="166">
        <f>'Capital Cost Estimate'!$AA$456/50</f>
        <v>22576</v>
      </c>
      <c r="H10" s="166">
        <f>'Operating Cost Estimate'!$N$61/50</f>
        <v>415800</v>
      </c>
      <c r="I10" s="166"/>
      <c r="J10" s="166">
        <f>('Operating Cost Estimate'!$N$64/65)+('Operating Cost Estimate'!$N$65/17)+('Operating Cost Estimate'!$N$66/17)</f>
        <v>204231.17647058822</v>
      </c>
      <c r="K10" s="167">
        <f aca="true" t="shared" si="2" ref="K10:K30">SUM(B10:J10)</f>
        <v>2117980.3164705886</v>
      </c>
      <c r="L10" s="168">
        <f t="shared" si="0"/>
        <v>2181519.7259647064</v>
      </c>
      <c r="M10" s="168">
        <f t="shared" si="1"/>
        <v>2075620.7101411768</v>
      </c>
    </row>
    <row r="11" spans="1:13" ht="12">
      <c r="A11" s="165">
        <f>1+A10</f>
        <v>2</v>
      </c>
      <c r="B11" s="166"/>
      <c r="C11" s="166"/>
      <c r="D11" s="166"/>
      <c r="E11" s="166"/>
      <c r="F11" s="166"/>
      <c r="G11" s="166">
        <f>'Capital Cost Estimate'!$AA$456/50</f>
        <v>22576</v>
      </c>
      <c r="H11" s="166">
        <f>'Operating Cost Estimate'!$N$61/50</f>
        <v>415800</v>
      </c>
      <c r="I11" s="166"/>
      <c r="J11" s="166">
        <f>('Operating Cost Estimate'!$N$64/65)+('Operating Cost Estimate'!$N$65/17)+('Operating Cost Estimate'!$N$66/17)</f>
        <v>204231.17647058822</v>
      </c>
      <c r="K11" s="167">
        <f t="shared" si="2"/>
        <v>642607.1764705882</v>
      </c>
      <c r="L11" s="168">
        <f t="shared" si="0"/>
        <v>681741.953517647</v>
      </c>
      <c r="M11" s="168">
        <f t="shared" si="1"/>
        <v>617159.9322823528</v>
      </c>
    </row>
    <row r="12" spans="1:13" ht="12">
      <c r="A12" s="165">
        <v>3</v>
      </c>
      <c r="B12" s="419"/>
      <c r="C12" s="166"/>
      <c r="D12" s="166"/>
      <c r="E12" s="166"/>
      <c r="F12" s="166"/>
      <c r="G12" s="166">
        <f>'Capital Cost Estimate'!$AA$456/50</f>
        <v>22576</v>
      </c>
      <c r="H12" s="166">
        <f>'Operating Cost Estimate'!$N$61/50</f>
        <v>415800</v>
      </c>
      <c r="I12" s="166"/>
      <c r="J12" s="166">
        <f>('Operating Cost Estimate'!$N$64/65)+('Operating Cost Estimate'!$N$65/17)+('Operating Cost Estimate'!$N$66/17)</f>
        <v>204231.17647058822</v>
      </c>
      <c r="K12" s="167">
        <f t="shared" si="2"/>
        <v>642607.1764705882</v>
      </c>
      <c r="L12" s="168">
        <f t="shared" si="0"/>
        <v>702194.2121231764</v>
      </c>
      <c r="M12" s="168">
        <f t="shared" si="1"/>
        <v>604816.7336367058</v>
      </c>
    </row>
    <row r="13" spans="1:13" ht="12">
      <c r="A13" s="165">
        <v>4</v>
      </c>
      <c r="B13" s="419"/>
      <c r="C13" s="166"/>
      <c r="D13" s="166"/>
      <c r="E13" s="166"/>
      <c r="F13" s="166"/>
      <c r="G13" s="166">
        <f>'Capital Cost Estimate'!$AA$456/50</f>
        <v>22576</v>
      </c>
      <c r="H13" s="166">
        <f>'Operating Cost Estimate'!$N$61/50</f>
        <v>415800</v>
      </c>
      <c r="I13" s="166"/>
      <c r="J13" s="166">
        <f>('Operating Cost Estimate'!$N$64/65)+('Operating Cost Estimate'!$N$65/17)+('Operating Cost Estimate'!$N$66/17)</f>
        <v>204231.17647058822</v>
      </c>
      <c r="K13" s="167">
        <f t="shared" si="2"/>
        <v>642607.1764705882</v>
      </c>
      <c r="L13" s="168">
        <f t="shared" si="0"/>
        <v>723260.0384868716</v>
      </c>
      <c r="M13" s="168">
        <f t="shared" si="1"/>
        <v>592720.3989639716</v>
      </c>
    </row>
    <row r="14" spans="1:13" ht="12">
      <c r="A14" s="165">
        <v>5</v>
      </c>
      <c r="C14" s="420"/>
      <c r="D14" s="166"/>
      <c r="E14" s="166"/>
      <c r="F14" s="166"/>
      <c r="G14" s="166">
        <f>'Capital Cost Estimate'!$AA$456/50</f>
        <v>22576</v>
      </c>
      <c r="H14" s="166">
        <f>'Operating Cost Estimate'!$N$61/50</f>
        <v>415800</v>
      </c>
      <c r="I14" s="166"/>
      <c r="J14" s="166">
        <f>('Operating Cost Estimate'!$N$64/65)</f>
        <v>30800</v>
      </c>
      <c r="K14" s="167">
        <f t="shared" si="2"/>
        <v>469176</v>
      </c>
      <c r="L14" s="168">
        <f t="shared" si="0"/>
        <v>543903.5730837767</v>
      </c>
      <c r="M14" s="168">
        <f t="shared" si="1"/>
        <v>424097.9437594367</v>
      </c>
    </row>
    <row r="15" spans="1:13" ht="12">
      <c r="A15" s="165">
        <v>6</v>
      </c>
      <c r="B15" s="419"/>
      <c r="C15" s="166"/>
      <c r="D15" s="166"/>
      <c r="E15" s="166"/>
      <c r="F15" s="166"/>
      <c r="G15" s="166">
        <f>'Capital Cost Estimate'!$AA$456/50</f>
        <v>22576</v>
      </c>
      <c r="H15" s="166">
        <f>'Operating Cost Estimate'!$N$61/50</f>
        <v>415800</v>
      </c>
      <c r="I15" s="166"/>
      <c r="J15" s="166">
        <f>('Operating Cost Estimate'!$N$64/65)</f>
        <v>30800</v>
      </c>
      <c r="K15" s="167">
        <f t="shared" si="2"/>
        <v>469176</v>
      </c>
      <c r="L15" s="168">
        <f t="shared" si="0"/>
        <v>560220.68027629</v>
      </c>
      <c r="M15" s="168">
        <f t="shared" si="1"/>
        <v>415615.984884248</v>
      </c>
    </row>
    <row r="16" spans="1:13" ht="12">
      <c r="A16" s="165">
        <v>7</v>
      </c>
      <c r="B16" s="419"/>
      <c r="C16" s="166"/>
      <c r="D16" s="166"/>
      <c r="E16" s="166"/>
      <c r="F16" s="166"/>
      <c r="G16" s="166">
        <f>'Capital Cost Estimate'!$AA$456/50</f>
        <v>22576</v>
      </c>
      <c r="H16" s="166">
        <f>'Operating Cost Estimate'!$N$61/50</f>
        <v>415800</v>
      </c>
      <c r="I16" s="166"/>
      <c r="J16" s="166">
        <f>('Operating Cost Estimate'!$N$64/65)</f>
        <v>30800</v>
      </c>
      <c r="K16" s="167">
        <f t="shared" si="2"/>
        <v>469176</v>
      </c>
      <c r="L16" s="168">
        <f t="shared" si="0"/>
        <v>577027.3006845788</v>
      </c>
      <c r="M16" s="168">
        <f t="shared" si="1"/>
        <v>407303.66518656304</v>
      </c>
    </row>
    <row r="17" spans="1:13" ht="12">
      <c r="A17" s="165">
        <v>8</v>
      </c>
      <c r="B17" s="166"/>
      <c r="C17" s="166"/>
      <c r="D17" s="166"/>
      <c r="E17" s="166"/>
      <c r="F17" s="166"/>
      <c r="G17" s="166">
        <f>'Capital Cost Estimate'!$AA$456/50</f>
        <v>22576</v>
      </c>
      <c r="H17" s="166">
        <f>'Operating Cost Estimate'!$N$61/50</f>
        <v>415800</v>
      </c>
      <c r="I17" s="166"/>
      <c r="J17" s="166">
        <f>('Operating Cost Estimate'!$N$64/65)</f>
        <v>30800</v>
      </c>
      <c r="K17" s="167">
        <f t="shared" si="2"/>
        <v>469176</v>
      </c>
      <c r="L17" s="168">
        <f t="shared" si="0"/>
        <v>594338.1197051161</v>
      </c>
      <c r="M17" s="168">
        <f t="shared" si="1"/>
        <v>399157.5918828317</v>
      </c>
    </row>
    <row r="18" spans="1:13" ht="12">
      <c r="A18" s="165">
        <v>9</v>
      </c>
      <c r="B18" s="166"/>
      <c r="C18" s="166"/>
      <c r="D18" s="166"/>
      <c r="E18" s="166"/>
      <c r="F18" s="166"/>
      <c r="G18" s="166">
        <f>'Capital Cost Estimate'!$AA$456/50</f>
        <v>22576</v>
      </c>
      <c r="H18" s="166">
        <f>'Operating Cost Estimate'!$N$61/50+'Operating Cost Estimate'!N50+'Operating Cost Estimate'!N53</f>
        <v>3081050</v>
      </c>
      <c r="I18" s="166"/>
      <c r="J18" s="166">
        <f>('Operating Cost Estimate'!$N$64/65)+('Operating Cost Estimate'!$N$65/17)+('Operating Cost Estimate'!$N$66/17)</f>
        <v>204231.17647058822</v>
      </c>
      <c r="K18" s="167">
        <f t="shared" si="2"/>
        <v>3307857.1764705884</v>
      </c>
      <c r="L18" s="168">
        <f t="shared" si="0"/>
        <v>4316003.339795944</v>
      </c>
      <c r="M18" s="168">
        <f t="shared" si="1"/>
        <v>2757918.518328509</v>
      </c>
    </row>
    <row r="19" spans="1:13" ht="12">
      <c r="A19" s="165">
        <v>10</v>
      </c>
      <c r="B19" s="166"/>
      <c r="C19" s="166"/>
      <c r="D19" s="166"/>
      <c r="E19" s="166"/>
      <c r="F19" s="166"/>
      <c r="G19" s="166">
        <f>'Capital Cost Estimate'!$AA$456/50</f>
        <v>22576</v>
      </c>
      <c r="H19" s="166">
        <f>'Operating Cost Estimate'!$N$61/50</f>
        <v>415800</v>
      </c>
      <c r="I19" s="166"/>
      <c r="J19" s="166">
        <f>('Operating Cost Estimate'!$N$64/65)</f>
        <v>30800</v>
      </c>
      <c r="K19" s="167">
        <f t="shared" si="2"/>
        <v>469176</v>
      </c>
      <c r="L19" s="168">
        <f t="shared" si="0"/>
        <v>630533.3111951577</v>
      </c>
      <c r="M19" s="168">
        <f t="shared" si="1"/>
        <v>383350.95124427153</v>
      </c>
    </row>
    <row r="20" spans="1:13" ht="12">
      <c r="A20" s="165">
        <v>11</v>
      </c>
      <c r="B20" s="166"/>
      <c r="C20" s="166"/>
      <c r="D20" s="166"/>
      <c r="E20" s="166"/>
      <c r="F20" s="166"/>
      <c r="G20" s="166">
        <f>'Capital Cost Estimate'!$AA$456/50</f>
        <v>22576</v>
      </c>
      <c r="H20" s="166">
        <f>'Operating Cost Estimate'!$N$61/50</f>
        <v>415800</v>
      </c>
      <c r="I20" s="166"/>
      <c r="J20" s="166">
        <f>('Operating Cost Estimate'!$N$64/65)</f>
        <v>30800</v>
      </c>
      <c r="K20" s="167">
        <f t="shared" si="2"/>
        <v>469176</v>
      </c>
      <c r="L20" s="168">
        <f t="shared" si="0"/>
        <v>649449.3105310125</v>
      </c>
      <c r="M20" s="168">
        <f t="shared" si="1"/>
        <v>375683.9322193861</v>
      </c>
    </row>
    <row r="21" spans="1:13" ht="12">
      <c r="A21" s="165">
        <v>12</v>
      </c>
      <c r="B21" s="166"/>
      <c r="C21" s="166"/>
      <c r="D21" s="166"/>
      <c r="E21" s="166"/>
      <c r="F21" s="166"/>
      <c r="G21" s="166">
        <f>'Capital Cost Estimate'!$AA$456/50</f>
        <v>22576</v>
      </c>
      <c r="H21" s="166">
        <f>'Operating Cost Estimate'!$N$61/50</f>
        <v>415800</v>
      </c>
      <c r="I21" s="166"/>
      <c r="J21" s="166">
        <f>('Operating Cost Estimate'!$N$64/65)</f>
        <v>30800</v>
      </c>
      <c r="K21" s="167">
        <f t="shared" si="2"/>
        <v>469176</v>
      </c>
      <c r="L21" s="168">
        <f t="shared" si="0"/>
        <v>668932.7898469428</v>
      </c>
      <c r="M21" s="168">
        <f t="shared" si="1"/>
        <v>368170.2535749984</v>
      </c>
    </row>
    <row r="22" spans="1:13" ht="12">
      <c r="A22" s="165">
        <v>13</v>
      </c>
      <c r="B22" s="166"/>
      <c r="C22" s="166"/>
      <c r="D22" s="166"/>
      <c r="E22" s="166"/>
      <c r="F22" s="166"/>
      <c r="G22" s="166">
        <f>'Capital Cost Estimate'!$AA$456/50</f>
        <v>22576</v>
      </c>
      <c r="H22" s="166">
        <f>'Operating Cost Estimate'!$N$61/50</f>
        <v>415800</v>
      </c>
      <c r="I22" s="166"/>
      <c r="J22" s="166">
        <f>('Operating Cost Estimate'!$N$64/65)</f>
        <v>30800</v>
      </c>
      <c r="K22" s="167">
        <f t="shared" si="2"/>
        <v>469176</v>
      </c>
      <c r="L22" s="168">
        <f t="shared" si="0"/>
        <v>689000.773542351</v>
      </c>
      <c r="M22" s="168">
        <f t="shared" si="1"/>
        <v>360806.8485034984</v>
      </c>
    </row>
    <row r="23" spans="1:13" ht="12">
      <c r="A23" s="165">
        <v>14</v>
      </c>
      <c r="B23" s="166"/>
      <c r="C23" s="166"/>
      <c r="D23" s="166"/>
      <c r="E23" s="166"/>
      <c r="F23" s="166"/>
      <c r="G23" s="166">
        <f>'Capital Cost Estimate'!$AA$456/50</f>
        <v>22576</v>
      </c>
      <c r="H23" s="166">
        <f>'Operating Cost Estimate'!$N$61/50</f>
        <v>415800</v>
      </c>
      <c r="I23" s="166"/>
      <c r="J23" s="166">
        <f>('Operating Cost Estimate'!$N$64/65)+('Operating Cost Estimate'!$N$65/17)+('Operating Cost Estimate'!$N$66/17)</f>
        <v>204231.17647058822</v>
      </c>
      <c r="K23" s="167">
        <f t="shared" si="2"/>
        <v>642607.1764705882</v>
      </c>
      <c r="L23" s="168">
        <f t="shared" si="0"/>
        <v>972001.0122475667</v>
      </c>
      <c r="M23" s="168">
        <f t="shared" si="1"/>
        <v>484295.7200809988</v>
      </c>
    </row>
    <row r="24" spans="1:13" ht="12">
      <c r="A24" s="165">
        <v>15</v>
      </c>
      <c r="B24" s="166"/>
      <c r="C24" s="166"/>
      <c r="D24" s="166"/>
      <c r="E24" s="166"/>
      <c r="F24" s="166"/>
      <c r="G24" s="166">
        <f>'Capital Cost Estimate'!$AA$456/50</f>
        <v>22576</v>
      </c>
      <c r="H24" s="166">
        <f>'Operating Cost Estimate'!$N$61/50</f>
        <v>415800</v>
      </c>
      <c r="I24" s="166"/>
      <c r="J24" s="166">
        <f>('Operating Cost Estimate'!$N$64/65)</f>
        <v>30800</v>
      </c>
      <c r="K24" s="167">
        <f t="shared" si="2"/>
        <v>469176</v>
      </c>
      <c r="L24" s="168">
        <f t="shared" si="0"/>
        <v>730960.9206510802</v>
      </c>
      <c r="M24" s="168">
        <f t="shared" si="1"/>
        <v>346518.89730275987</v>
      </c>
    </row>
    <row r="25" spans="1:13" ht="12">
      <c r="A25" s="165">
        <v>16</v>
      </c>
      <c r="B25" s="166"/>
      <c r="C25" s="166"/>
      <c r="D25" s="166"/>
      <c r="E25" s="166"/>
      <c r="F25" s="166"/>
      <c r="G25" s="166">
        <f>'Capital Cost Estimate'!$AA$456/50</f>
        <v>22576</v>
      </c>
      <c r="H25" s="166">
        <f>'Operating Cost Estimate'!$N$61/50</f>
        <v>415800</v>
      </c>
      <c r="I25" s="166"/>
      <c r="J25" s="166">
        <f>('Operating Cost Estimate'!$N$64/65)</f>
        <v>30800</v>
      </c>
      <c r="K25" s="167">
        <f t="shared" si="2"/>
        <v>469176</v>
      </c>
      <c r="L25" s="168">
        <f t="shared" si="0"/>
        <v>752889.7482706126</v>
      </c>
      <c r="M25" s="168">
        <f t="shared" si="1"/>
        <v>339588.51935670467</v>
      </c>
    </row>
    <row r="26" spans="1:13" ht="12">
      <c r="A26" s="165">
        <v>17</v>
      </c>
      <c r="B26" s="166"/>
      <c r="C26" s="166"/>
      <c r="D26" s="166"/>
      <c r="E26" s="166"/>
      <c r="F26" s="166"/>
      <c r="G26" s="166">
        <f>'Capital Cost Estimate'!$AA$456/50</f>
        <v>22576</v>
      </c>
      <c r="H26" s="166">
        <f>'Operating Cost Estimate'!$N$61/50</f>
        <v>415800</v>
      </c>
      <c r="I26" s="166"/>
      <c r="J26" s="166">
        <f>('Operating Cost Estimate'!$N$64/65)</f>
        <v>30800</v>
      </c>
      <c r="K26" s="167">
        <f t="shared" si="2"/>
        <v>469176</v>
      </c>
      <c r="L26" s="168">
        <f t="shared" si="0"/>
        <v>775476.4407187309</v>
      </c>
      <c r="M26" s="168">
        <f t="shared" si="1"/>
        <v>332796.74896957056</v>
      </c>
    </row>
    <row r="27" spans="1:13" ht="12">
      <c r="A27" s="165">
        <v>18</v>
      </c>
      <c r="B27" s="166"/>
      <c r="C27" s="166"/>
      <c r="D27" s="166"/>
      <c r="E27" s="166"/>
      <c r="F27" s="166"/>
      <c r="G27" s="166">
        <f>'Capital Cost Estimate'!$AA$456/50</f>
        <v>22576</v>
      </c>
      <c r="H27" s="166">
        <f>'Operating Cost Estimate'!$N$61/50</f>
        <v>415800</v>
      </c>
      <c r="I27" s="166"/>
      <c r="J27" s="166">
        <f>('Operating Cost Estimate'!$N$64/65)</f>
        <v>30800</v>
      </c>
      <c r="K27" s="167">
        <f t="shared" si="2"/>
        <v>469176</v>
      </c>
      <c r="L27" s="168">
        <f t="shared" si="0"/>
        <v>798740.7339402928</v>
      </c>
      <c r="M27" s="168">
        <f t="shared" si="1"/>
        <v>326140.81399017916</v>
      </c>
    </row>
    <row r="28" spans="1:13" ht="12">
      <c r="A28" s="165">
        <v>19</v>
      </c>
      <c r="B28" s="166"/>
      <c r="C28" s="166"/>
      <c r="D28" s="166"/>
      <c r="E28" s="166"/>
      <c r="F28" s="166"/>
      <c r="G28" s="166">
        <f>'Capital Cost Estimate'!$AA$456/50</f>
        <v>22576</v>
      </c>
      <c r="H28" s="166">
        <f>'Operating Cost Estimate'!$N$61/50+'Operating Cost Estimate'!N51</f>
        <v>1081050</v>
      </c>
      <c r="I28" s="166"/>
      <c r="J28" s="166">
        <f>('Operating Cost Estimate'!$N$64/65)+('Operating Cost Estimate'!$N$65/17)+('Operating Cost Estimate'!$N$66/17)</f>
        <v>204231.17647058822</v>
      </c>
      <c r="K28" s="167">
        <f t="shared" si="2"/>
        <v>1307857.1764705882</v>
      </c>
      <c r="L28" s="168">
        <f t="shared" si="0"/>
        <v>2293335.475501502</v>
      </c>
      <c r="M28" s="168">
        <f t="shared" si="1"/>
        <v>890954.9764580342</v>
      </c>
    </row>
    <row r="29" spans="1:13" ht="12">
      <c r="A29" s="165">
        <v>20</v>
      </c>
      <c r="B29" s="166"/>
      <c r="C29" s="166"/>
      <c r="D29" s="166"/>
      <c r="E29" s="166"/>
      <c r="F29" s="166"/>
      <c r="G29" s="166">
        <f>'Capital Cost Estimate'!$AA$456/50</f>
        <v>22576</v>
      </c>
      <c r="H29" s="166">
        <f>'Operating Cost Estimate'!$N$61/50</f>
        <v>415800</v>
      </c>
      <c r="I29" s="166"/>
      <c r="J29" s="166">
        <f>('Operating Cost Estimate'!$N$64/65)</f>
        <v>30800</v>
      </c>
      <c r="K29" s="167">
        <f t="shared" si="2"/>
        <v>469176</v>
      </c>
      <c r="L29" s="168">
        <f t="shared" si="0"/>
        <v>847384.0446372567</v>
      </c>
      <c r="M29" s="168">
        <f t="shared" si="1"/>
        <v>313225.637756168</v>
      </c>
    </row>
    <row r="30" spans="1:13" ht="12">
      <c r="A30" s="165">
        <v>21</v>
      </c>
      <c r="B30" s="166"/>
      <c r="C30" s="166"/>
      <c r="D30" s="166"/>
      <c r="E30" s="166"/>
      <c r="F30" s="166"/>
      <c r="G30" s="166">
        <f>'Capital Cost Estimate'!$AA$456/50</f>
        <v>22576</v>
      </c>
      <c r="H30" s="166">
        <f>'Operating Cost Estimate'!$N$61/50</f>
        <v>415800</v>
      </c>
      <c r="I30" s="166"/>
      <c r="J30" s="166">
        <f>('Operating Cost Estimate'!$N$64/65)</f>
        <v>30800</v>
      </c>
      <c r="K30" s="167">
        <f t="shared" si="2"/>
        <v>469176</v>
      </c>
      <c r="L30" s="168">
        <f t="shared" si="0"/>
        <v>872805.5659763742</v>
      </c>
      <c r="M30" s="168">
        <f t="shared" si="1"/>
        <v>306961.12500104465</v>
      </c>
    </row>
    <row r="31" spans="1:13" ht="12">
      <c r="A31" s="165">
        <v>22</v>
      </c>
      <c r="B31" s="166"/>
      <c r="C31" s="166"/>
      <c r="D31" s="166"/>
      <c r="E31" s="166"/>
      <c r="F31" s="166"/>
      <c r="G31" s="166">
        <f>'Capital Cost Estimate'!$AA$456/50</f>
        <v>22576</v>
      </c>
      <c r="H31" s="166">
        <f>'Operating Cost Estimate'!$N$61/50</f>
        <v>415800</v>
      </c>
      <c r="I31" s="166"/>
      <c r="J31" s="166">
        <f>('Operating Cost Estimate'!$N$64/65)</f>
        <v>30800</v>
      </c>
      <c r="K31" s="167">
        <f>SUM(B31:J31)</f>
        <v>469176</v>
      </c>
      <c r="L31" s="168">
        <f>($K31*((1+L$8)^A31))</f>
        <v>898989.7329556656</v>
      </c>
      <c r="M31" s="168">
        <f>K31*((1+L$8-M$8)^A31)</f>
        <v>300821.9025010238</v>
      </c>
    </row>
    <row r="32" spans="1:13" ht="12">
      <c r="A32" s="165">
        <v>23</v>
      </c>
      <c r="B32" s="166"/>
      <c r="C32" s="166"/>
      <c r="D32" s="166"/>
      <c r="E32" s="166"/>
      <c r="F32" s="166"/>
      <c r="G32" s="166">
        <f>'Capital Cost Estimate'!$AA$456/50</f>
        <v>22576</v>
      </c>
      <c r="H32" s="166">
        <f>'Operating Cost Estimate'!$N$61/50</f>
        <v>415800</v>
      </c>
      <c r="I32" s="166"/>
      <c r="J32" s="166">
        <f>('Operating Cost Estimate'!$N$64/65)</f>
        <v>30800</v>
      </c>
      <c r="K32" s="167">
        <f>SUM(B32:J32)</f>
        <v>469176</v>
      </c>
      <c r="L32" s="168">
        <f>($K32*((1+L$8)^A32))</f>
        <v>925959.4249443356</v>
      </c>
      <c r="M32" s="168">
        <f>K32*((1+L$8-M$8)^A32)</f>
        <v>294805.46445100324</v>
      </c>
    </row>
    <row r="33" spans="1:13" ht="12">
      <c r="A33" s="165">
        <v>24</v>
      </c>
      <c r="B33" s="166"/>
      <c r="C33" s="166"/>
      <c r="D33" s="166"/>
      <c r="E33" s="166"/>
      <c r="F33" s="166"/>
      <c r="G33" s="166">
        <f>'Capital Cost Estimate'!$AA$456/50</f>
        <v>22576</v>
      </c>
      <c r="H33" s="166">
        <f>'Operating Cost Estimate'!$N$61/50</f>
        <v>415800</v>
      </c>
      <c r="I33" s="166"/>
      <c r="J33" s="166">
        <f>('Operating Cost Estimate'!$N$64/65)+('Operating Cost Estimate'!$N$65/17)+('Operating Cost Estimate'!$N$66/17)</f>
        <v>204231.17647058822</v>
      </c>
      <c r="K33" s="167">
        <f>SUM(B33:J33)</f>
        <v>642607.1764705882</v>
      </c>
      <c r="L33" s="168">
        <f>($K33*((1+L$8)^A33))</f>
        <v>1306288.0810985712</v>
      </c>
      <c r="M33" s="168">
        <f>K33*((1+L$8-M$8)^A33)</f>
        <v>395704.8633702073</v>
      </c>
    </row>
    <row r="34" spans="1:13" ht="12">
      <c r="A34" s="165">
        <v>25</v>
      </c>
      <c r="B34" s="166"/>
      <c r="C34" s="166"/>
      <c r="D34" s="166"/>
      <c r="E34" s="166"/>
      <c r="F34" s="166"/>
      <c r="G34" s="166">
        <f>'Capital Cost Estimate'!$AA$456/50</f>
        <v>22576</v>
      </c>
      <c r="H34" s="166">
        <f>'Operating Cost Estimate'!$N$61/50</f>
        <v>415800</v>
      </c>
      <c r="I34" s="166"/>
      <c r="J34" s="166">
        <f>('Operating Cost Estimate'!$N$64/65)</f>
        <v>30800</v>
      </c>
      <c r="K34" s="167">
        <f>SUM(B34:J34)</f>
        <v>469176</v>
      </c>
      <c r="L34" s="168">
        <f>($K34*((1+L$8)^A34))</f>
        <v>982350.3539234455</v>
      </c>
      <c r="M34" s="168">
        <f>K34*((1+L$8-M$8)^A34)</f>
        <v>283131.1680587435</v>
      </c>
    </row>
    <row r="35" spans="1:13" ht="12">
      <c r="A35" s="165">
        <v>26</v>
      </c>
      <c r="B35" s="166"/>
      <c r="C35" s="166"/>
      <c r="D35" s="166"/>
      <c r="E35" s="166"/>
      <c r="F35" s="166"/>
      <c r="G35" s="166">
        <f>'Capital Cost Estimate'!$AA$456/50</f>
        <v>22576</v>
      </c>
      <c r="H35" s="166">
        <f>'Operating Cost Estimate'!$N$61/50</f>
        <v>415800</v>
      </c>
      <c r="I35" s="166"/>
      <c r="J35" s="166">
        <f>('Operating Cost Estimate'!$N$64/65)</f>
        <v>30800</v>
      </c>
      <c r="K35" s="167">
        <f>SUM(B35:J35)</f>
        <v>469176</v>
      </c>
      <c r="L35" s="168">
        <f>($K35*((1+L$8)^A35))</f>
        <v>1011820.8645411489</v>
      </c>
      <c r="M35" s="168">
        <f>K35*((1+L$8-M$8)^A35)</f>
        <v>277468.54469756864</v>
      </c>
    </row>
    <row r="36" spans="1:13" ht="12">
      <c r="A36" s="165">
        <v>27</v>
      </c>
      <c r="B36" s="166"/>
      <c r="C36" s="166"/>
      <c r="D36" s="166"/>
      <c r="E36" s="166"/>
      <c r="F36" s="166"/>
      <c r="G36" s="166">
        <f>'Capital Cost Estimate'!$AA$456/50</f>
        <v>22576</v>
      </c>
      <c r="H36" s="166">
        <f>'Operating Cost Estimate'!$N$61/50</f>
        <v>415800</v>
      </c>
      <c r="I36" s="166"/>
      <c r="J36" s="166">
        <f>('Operating Cost Estimate'!$N$64/65)</f>
        <v>30800</v>
      </c>
      <c r="K36" s="167">
        <f aca="true" t="shared" si="3" ref="K36:K45">SUM(B36:J36)</f>
        <v>469176</v>
      </c>
      <c r="L36" s="168">
        <f aca="true" t="shared" si="4" ref="L36:L45">($K36*((1+L$8)^A36))</f>
        <v>1042175.4904773833</v>
      </c>
      <c r="M36" s="168">
        <f aca="true" t="shared" si="5" ref="M36:M45">K36*((1+L$8-M$8)^A36)</f>
        <v>271919.17380361725</v>
      </c>
    </row>
    <row r="37" spans="1:13" ht="12">
      <c r="A37" s="165">
        <v>28</v>
      </c>
      <c r="B37" s="166"/>
      <c r="C37" s="166"/>
      <c r="D37" s="166"/>
      <c r="E37" s="166"/>
      <c r="F37" s="166"/>
      <c r="G37" s="166">
        <f>'Capital Cost Estimate'!$AA$456/50</f>
        <v>22576</v>
      </c>
      <c r="H37" s="166">
        <f>'Operating Cost Estimate'!$N$61/50</f>
        <v>415800</v>
      </c>
      <c r="I37" s="166"/>
      <c r="J37" s="166">
        <f>('Operating Cost Estimate'!$N$64/65)</f>
        <v>30800</v>
      </c>
      <c r="K37" s="167">
        <f t="shared" si="3"/>
        <v>469176</v>
      </c>
      <c r="L37" s="168">
        <f t="shared" si="4"/>
        <v>1073440.7551917047</v>
      </c>
      <c r="M37" s="168">
        <f t="shared" si="5"/>
        <v>266480.7903275449</v>
      </c>
    </row>
    <row r="38" spans="1:13" ht="12">
      <c r="A38" s="165">
        <v>29</v>
      </c>
      <c r="B38" s="166"/>
      <c r="C38" s="166"/>
      <c r="D38" s="166"/>
      <c r="E38" s="166"/>
      <c r="F38" s="166"/>
      <c r="G38" s="166">
        <f>'Capital Cost Estimate'!$AA$456/50</f>
        <v>22576</v>
      </c>
      <c r="H38" s="166">
        <f>'Operating Cost Estimate'!$N$61/50</f>
        <v>415800</v>
      </c>
      <c r="I38" s="166"/>
      <c r="J38" s="166">
        <f>('Operating Cost Estimate'!$N$64/65)+('Operating Cost Estimate'!$N$65/17)+('Operating Cost Estimate'!$N$66/17)</f>
        <v>204231.17647058822</v>
      </c>
      <c r="K38" s="167">
        <f t="shared" si="3"/>
        <v>642607.1764705882</v>
      </c>
      <c r="L38" s="168">
        <f t="shared" si="4"/>
        <v>1514345.9059846692</v>
      </c>
      <c r="M38" s="168">
        <f t="shared" si="5"/>
        <v>357685.85539523285</v>
      </c>
    </row>
    <row r="39" spans="1:13" ht="12">
      <c r="A39" s="165">
        <v>30</v>
      </c>
      <c r="B39" s="166"/>
      <c r="C39" s="166"/>
      <c r="D39" s="166"/>
      <c r="E39" s="166"/>
      <c r="F39" s="166"/>
      <c r="G39" s="166">
        <f>'Capital Cost Estimate'!$AA$456/50</f>
        <v>22576</v>
      </c>
      <c r="H39" s="166">
        <f>'Operating Cost Estimate'!$N$61/50</f>
        <v>415800</v>
      </c>
      <c r="I39" s="166"/>
      <c r="J39" s="166">
        <f>('Operating Cost Estimate'!$N$64/65)</f>
        <v>30800</v>
      </c>
      <c r="K39" s="167">
        <f t="shared" si="3"/>
        <v>469176</v>
      </c>
      <c r="L39" s="168">
        <f t="shared" si="4"/>
        <v>1138813.2971828794</v>
      </c>
      <c r="M39" s="168">
        <f t="shared" si="5"/>
        <v>255928.1510305741</v>
      </c>
    </row>
    <row r="40" spans="1:13" ht="12">
      <c r="A40" s="165">
        <v>31</v>
      </c>
      <c r="B40" s="166"/>
      <c r="C40" s="166"/>
      <c r="D40" s="166"/>
      <c r="E40" s="166"/>
      <c r="F40" s="166"/>
      <c r="G40" s="166">
        <f>'Capital Cost Estimate'!$AA$456/50</f>
        <v>22576</v>
      </c>
      <c r="H40" s="166">
        <f>'Operating Cost Estimate'!$N$61/50</f>
        <v>415800</v>
      </c>
      <c r="I40" s="166"/>
      <c r="J40" s="166">
        <f>('Operating Cost Estimate'!$N$64/65)</f>
        <v>30800</v>
      </c>
      <c r="K40" s="167">
        <f t="shared" si="3"/>
        <v>469176</v>
      </c>
      <c r="L40" s="168">
        <f t="shared" si="4"/>
        <v>1172977.696098366</v>
      </c>
      <c r="M40" s="168">
        <f t="shared" si="5"/>
        <v>250809.5880099626</v>
      </c>
    </row>
    <row r="41" spans="1:13" ht="12">
      <c r="A41" s="165">
        <v>32</v>
      </c>
      <c r="B41" s="166"/>
      <c r="C41" s="166"/>
      <c r="D41" s="166"/>
      <c r="E41" s="166"/>
      <c r="F41" s="166"/>
      <c r="G41" s="166">
        <f>'Capital Cost Estimate'!$AA$456/50</f>
        <v>22576</v>
      </c>
      <c r="H41" s="166">
        <f>'Operating Cost Estimate'!$N$61/50</f>
        <v>415800</v>
      </c>
      <c r="I41" s="166"/>
      <c r="J41" s="166">
        <f>('Operating Cost Estimate'!$N$64/65)</f>
        <v>30800</v>
      </c>
      <c r="K41" s="167">
        <f t="shared" si="3"/>
        <v>469176</v>
      </c>
      <c r="L41" s="168">
        <f t="shared" si="4"/>
        <v>1208167.0269813167</v>
      </c>
      <c r="M41" s="168">
        <f t="shared" si="5"/>
        <v>245793.39624976335</v>
      </c>
    </row>
    <row r="42" spans="1:13" ht="12">
      <c r="A42" s="165">
        <v>33</v>
      </c>
      <c r="B42" s="166"/>
      <c r="C42" s="166"/>
      <c r="D42" s="166"/>
      <c r="E42" s="166"/>
      <c r="F42" s="166"/>
      <c r="G42" s="166">
        <f>'Capital Cost Estimate'!$AA$456/50</f>
        <v>22576</v>
      </c>
      <c r="H42" s="166">
        <f>'Operating Cost Estimate'!$N$61/50</f>
        <v>415800</v>
      </c>
      <c r="I42" s="166"/>
      <c r="J42" s="166">
        <f>('Operating Cost Estimate'!$N$64/65)</f>
        <v>30800</v>
      </c>
      <c r="K42" s="167">
        <f t="shared" si="3"/>
        <v>469176</v>
      </c>
      <c r="L42" s="168">
        <f t="shared" si="4"/>
        <v>1244412.0377907564</v>
      </c>
      <c r="M42" s="168">
        <f t="shared" si="5"/>
        <v>240877.5283247681</v>
      </c>
    </row>
    <row r="43" spans="1:13" ht="12">
      <c r="A43" s="165">
        <v>34</v>
      </c>
      <c r="B43" s="166"/>
      <c r="C43" s="166"/>
      <c r="D43" s="166"/>
      <c r="E43" s="166"/>
      <c r="F43" s="166"/>
      <c r="G43" s="166">
        <f>'Capital Cost Estimate'!$AA$456/50</f>
        <v>22576</v>
      </c>
      <c r="H43" s="166">
        <f>'Operating Cost Estimate'!$N$61/50</f>
        <v>415800</v>
      </c>
      <c r="I43" s="166"/>
      <c r="J43" s="166">
        <f>('Operating Cost Estimate'!$N$64/65)+('Operating Cost Estimate'!$N$65/17)+('Operating Cost Estimate'!$N$66/17)</f>
        <v>204231.17647058822</v>
      </c>
      <c r="K43" s="167">
        <f t="shared" si="3"/>
        <v>642607.1764705882</v>
      </c>
      <c r="L43" s="168">
        <f t="shared" si="4"/>
        <v>1755541.9483303719</v>
      </c>
      <c r="M43" s="168">
        <f t="shared" si="5"/>
        <v>323319.68341294845</v>
      </c>
    </row>
    <row r="44" spans="1:13" ht="12">
      <c r="A44" s="165">
        <v>35</v>
      </c>
      <c r="B44" s="166"/>
      <c r="C44" s="166"/>
      <c r="D44" s="166"/>
      <c r="E44" s="166"/>
      <c r="F44" s="166"/>
      <c r="G44" s="166">
        <f>'Capital Cost Estimate'!$AA$456/50</f>
        <v>22576</v>
      </c>
      <c r="H44" s="166">
        <f>'Operating Cost Estimate'!$N$61/50</f>
        <v>415800</v>
      </c>
      <c r="I44" s="166"/>
      <c r="J44" s="166">
        <f>('Operating Cost Estimate'!$N$64/65)</f>
        <v>30800</v>
      </c>
      <c r="K44" s="167">
        <f t="shared" si="3"/>
        <v>469176</v>
      </c>
      <c r="L44" s="168">
        <f t="shared" si="4"/>
        <v>1320196.7308922135</v>
      </c>
      <c r="M44" s="168">
        <f t="shared" si="5"/>
        <v>231338.77820310727</v>
      </c>
    </row>
    <row r="45" spans="1:13" ht="12">
      <c r="A45" s="165">
        <v>36</v>
      </c>
      <c r="B45" s="166"/>
      <c r="C45" s="166"/>
      <c r="D45" s="166"/>
      <c r="E45" s="166"/>
      <c r="F45" s="166"/>
      <c r="G45" s="166">
        <f>'Capital Cost Estimate'!$AA$456/50</f>
        <v>22576</v>
      </c>
      <c r="H45" s="166">
        <f>'Operating Cost Estimate'!$N$61/50</f>
        <v>415800</v>
      </c>
      <c r="I45" s="166"/>
      <c r="J45" s="166">
        <f>('Operating Cost Estimate'!$N$64/65)</f>
        <v>30800</v>
      </c>
      <c r="K45" s="167">
        <f t="shared" si="3"/>
        <v>469176</v>
      </c>
      <c r="L45" s="168">
        <f t="shared" si="4"/>
        <v>1359802.6328189797</v>
      </c>
      <c r="M45" s="168">
        <f t="shared" si="5"/>
        <v>226712.0026390451</v>
      </c>
    </row>
    <row r="46" spans="1:13" ht="12">
      <c r="A46" s="165">
        <v>37</v>
      </c>
      <c r="B46" s="166"/>
      <c r="C46" s="166"/>
      <c r="D46" s="166"/>
      <c r="E46" s="166"/>
      <c r="F46" s="166"/>
      <c r="G46" s="166">
        <f>'Capital Cost Estimate'!$AA$456/50</f>
        <v>22576</v>
      </c>
      <c r="H46" s="166">
        <f>'Operating Cost Estimate'!$N$61/50</f>
        <v>415800</v>
      </c>
      <c r="I46" s="166"/>
      <c r="J46" s="166">
        <f>('Operating Cost Estimate'!$N$64/65)</f>
        <v>30800</v>
      </c>
      <c r="K46" s="167">
        <f>SUM(B46:J46)</f>
        <v>469176</v>
      </c>
      <c r="L46" s="168">
        <f>($K46*((1+L$8)^A46))</f>
        <v>1400596.711803549</v>
      </c>
      <c r="M46" s="168">
        <f>K46*((1+L$8-M$8)^A46)</f>
        <v>222177.76258626417</v>
      </c>
    </row>
    <row r="47" spans="1:13" ht="12">
      <c r="A47" s="165">
        <v>38</v>
      </c>
      <c r="B47" s="166"/>
      <c r="C47" s="166"/>
      <c r="D47" s="166"/>
      <c r="E47" s="166"/>
      <c r="F47" s="166"/>
      <c r="G47" s="166">
        <f>'Capital Cost Estimate'!$AA$456/50</f>
        <v>22576</v>
      </c>
      <c r="H47" s="166">
        <f>'Operating Cost Estimate'!$N$61/50</f>
        <v>415800</v>
      </c>
      <c r="I47" s="166"/>
      <c r="J47" s="166">
        <f>('Operating Cost Estimate'!$N$64/65)</f>
        <v>30800</v>
      </c>
      <c r="K47" s="167">
        <f>SUM(B47:J47)</f>
        <v>469176</v>
      </c>
      <c r="L47" s="168">
        <f>($K47*((1+L$8)^A47))</f>
        <v>1442614.6131576553</v>
      </c>
      <c r="M47" s="168">
        <f>K47*((1+L$8-M$8)^A47)</f>
        <v>217734.2073345389</v>
      </c>
    </row>
    <row r="48" spans="1:13" ht="12">
      <c r="A48" s="165">
        <v>39</v>
      </c>
      <c r="B48" s="166"/>
      <c r="C48" s="166"/>
      <c r="D48" s="166"/>
      <c r="E48" s="166"/>
      <c r="F48" s="166"/>
      <c r="G48" s="166">
        <f>'Capital Cost Estimate'!$AA$456/50</f>
        <v>22576</v>
      </c>
      <c r="H48" s="166">
        <f>'Operating Cost Estimate'!$N$61/50+('Operating Cost Estimate'!N52)</f>
        <v>1746300</v>
      </c>
      <c r="I48" s="166"/>
      <c r="J48" s="166">
        <f>('Operating Cost Estimate'!$N$64/65)+('Operating Cost Estimate'!$N$65/17)+('Operating Cost Estimate'!$N$66/17)</f>
        <v>204231.17647058822</v>
      </c>
      <c r="K48" s="167">
        <f aca="true" t="shared" si="6" ref="K48:K57">SUM(B48:J48)</f>
        <v>1973107.1764705882</v>
      </c>
      <c r="L48" s="168">
        <f aca="true" t="shared" si="7" ref="L48:L57">($K48*((1+L$8)^A48))</f>
        <v>6248883.667292857</v>
      </c>
      <c r="M48" s="168">
        <f aca="true" t="shared" si="8" ref="M48:M57">K48*((1+L$8-M$8)^A48)</f>
        <v>897361.9036647556</v>
      </c>
    </row>
    <row r="49" spans="1:13" ht="12">
      <c r="A49" s="165">
        <v>40</v>
      </c>
      <c r="B49" s="166"/>
      <c r="C49" s="166"/>
      <c r="D49" s="166"/>
      <c r="E49" s="166"/>
      <c r="F49" s="166"/>
      <c r="G49" s="166">
        <f>'Capital Cost Estimate'!$AA$456/50</f>
        <v>22576</v>
      </c>
      <c r="H49" s="166">
        <f>'Operating Cost Estimate'!$N$61/50</f>
        <v>415800</v>
      </c>
      <c r="I49" s="166"/>
      <c r="J49" s="166">
        <f>('Operating Cost Estimate'!$N$64/65)</f>
        <v>30800</v>
      </c>
      <c r="K49" s="167">
        <f t="shared" si="6"/>
        <v>469176</v>
      </c>
      <c r="L49" s="168">
        <f t="shared" si="7"/>
        <v>1530469.8430989566</v>
      </c>
      <c r="M49" s="168">
        <f t="shared" si="8"/>
        <v>209111.93272409114</v>
      </c>
    </row>
    <row r="50" spans="1:13" ht="12">
      <c r="A50" s="165">
        <v>41</v>
      </c>
      <c r="B50" s="166"/>
      <c r="C50" s="166"/>
      <c r="D50" s="166"/>
      <c r="E50" s="166"/>
      <c r="F50" s="166"/>
      <c r="G50" s="166">
        <f>'Capital Cost Estimate'!$AA$456/50</f>
        <v>22576</v>
      </c>
      <c r="H50" s="166">
        <f>'Operating Cost Estimate'!$N$61/50</f>
        <v>415800</v>
      </c>
      <c r="I50" s="166"/>
      <c r="J50" s="166">
        <f>('Operating Cost Estimate'!$N$64/65)</f>
        <v>30800</v>
      </c>
      <c r="K50" s="167">
        <f t="shared" si="6"/>
        <v>469176</v>
      </c>
      <c r="L50" s="168">
        <f t="shared" si="7"/>
        <v>1576383.9383919253</v>
      </c>
      <c r="M50" s="168">
        <f t="shared" si="8"/>
        <v>204929.6940696093</v>
      </c>
    </row>
    <row r="51" spans="1:13" ht="12">
      <c r="A51" s="165">
        <v>42</v>
      </c>
      <c r="B51" s="166"/>
      <c r="C51" s="166"/>
      <c r="D51" s="166"/>
      <c r="E51" s="166"/>
      <c r="F51" s="166"/>
      <c r="G51" s="166">
        <f>'Capital Cost Estimate'!$AA$456/50</f>
        <v>22576</v>
      </c>
      <c r="H51" s="166">
        <f>'Operating Cost Estimate'!$N$61/50</f>
        <v>415800</v>
      </c>
      <c r="I51" s="166"/>
      <c r="J51" s="166">
        <f>('Operating Cost Estimate'!$N$64/65)</f>
        <v>30800</v>
      </c>
      <c r="K51" s="167">
        <f t="shared" si="6"/>
        <v>469176</v>
      </c>
      <c r="L51" s="168">
        <f t="shared" si="7"/>
        <v>1623675.4565436833</v>
      </c>
      <c r="M51" s="168">
        <f t="shared" si="8"/>
        <v>200831.10018821713</v>
      </c>
    </row>
    <row r="52" spans="1:13" ht="12">
      <c r="A52" s="165">
        <v>43</v>
      </c>
      <c r="B52" s="166"/>
      <c r="C52" s="166"/>
      <c r="D52" s="166"/>
      <c r="E52" s="166"/>
      <c r="F52" s="166"/>
      <c r="G52" s="166">
        <f>'Capital Cost Estimate'!$AA$456/50</f>
        <v>22576</v>
      </c>
      <c r="H52" s="166">
        <f>'Operating Cost Estimate'!$N$61/50</f>
        <v>415800</v>
      </c>
      <c r="I52" s="166"/>
      <c r="J52" s="166">
        <f>('Operating Cost Estimate'!$N$64/65)</f>
        <v>30800</v>
      </c>
      <c r="K52" s="167">
        <f t="shared" si="6"/>
        <v>469176</v>
      </c>
      <c r="L52" s="168">
        <f t="shared" si="7"/>
        <v>1672385.7202399937</v>
      </c>
      <c r="M52" s="168">
        <f t="shared" si="8"/>
        <v>196814.47818445278</v>
      </c>
    </row>
    <row r="53" spans="1:13" ht="12">
      <c r="A53" s="165">
        <v>44</v>
      </c>
      <c r="B53" s="166"/>
      <c r="C53" s="166"/>
      <c r="D53" s="166"/>
      <c r="E53" s="166"/>
      <c r="F53" s="166"/>
      <c r="G53" s="166">
        <f>'Capital Cost Estimate'!$AA$456/50</f>
        <v>22576</v>
      </c>
      <c r="H53" s="166">
        <f>'Operating Cost Estimate'!$N$61/50</f>
        <v>415800</v>
      </c>
      <c r="I53" s="166"/>
      <c r="J53" s="166">
        <f>('Operating Cost Estimate'!$N$64/65)+('Operating Cost Estimate'!$N$65/17)+('Operating Cost Estimate'!$N$66/17)</f>
        <v>204231.17647058822</v>
      </c>
      <c r="K53" s="167">
        <f t="shared" si="6"/>
        <v>642607.1764705882</v>
      </c>
      <c r="L53" s="168">
        <f t="shared" si="7"/>
        <v>2359301.578986879</v>
      </c>
      <c r="M53" s="168">
        <f t="shared" si="8"/>
        <v>264175.7212482107</v>
      </c>
    </row>
    <row r="54" spans="1:13" ht="12">
      <c r="A54" s="165">
        <v>45</v>
      </c>
      <c r="B54" s="166"/>
      <c r="C54" s="166"/>
      <c r="D54" s="166"/>
      <c r="E54" s="166"/>
      <c r="F54" s="166"/>
      <c r="G54" s="166">
        <f>'Capital Cost Estimate'!$AA$456/50</f>
        <v>22576</v>
      </c>
      <c r="H54" s="166">
        <f>'Operating Cost Estimate'!$N$61/50</f>
        <v>415800</v>
      </c>
      <c r="I54" s="166"/>
      <c r="J54" s="166">
        <f>('Operating Cost Estimate'!$N$64/65)</f>
        <v>30800</v>
      </c>
      <c r="K54" s="167">
        <f t="shared" si="6"/>
        <v>469176</v>
      </c>
      <c r="L54" s="168">
        <f t="shared" si="7"/>
        <v>1774234.010602609</v>
      </c>
      <c r="M54" s="168">
        <f t="shared" si="8"/>
        <v>189020.6248483484</v>
      </c>
    </row>
    <row r="55" spans="1:13" ht="12">
      <c r="A55" s="165">
        <v>46</v>
      </c>
      <c r="B55" s="166"/>
      <c r="C55" s="166"/>
      <c r="D55" s="166"/>
      <c r="E55" s="166"/>
      <c r="F55" s="166"/>
      <c r="G55" s="166">
        <f>'Capital Cost Estimate'!$AA$456/50</f>
        <v>22576</v>
      </c>
      <c r="H55" s="166">
        <f>'Operating Cost Estimate'!$N$61/50</f>
        <v>415800</v>
      </c>
      <c r="I55" s="166"/>
      <c r="J55" s="166">
        <f>('Operating Cost Estimate'!$N$64/65)</f>
        <v>30800</v>
      </c>
      <c r="K55" s="167">
        <f t="shared" si="6"/>
        <v>469176</v>
      </c>
      <c r="L55" s="168">
        <f t="shared" si="7"/>
        <v>1827461.0309206874</v>
      </c>
      <c r="M55" s="168">
        <f t="shared" si="8"/>
        <v>185240.21235138146</v>
      </c>
    </row>
    <row r="56" spans="1:13" ht="12">
      <c r="A56" s="165">
        <v>47</v>
      </c>
      <c r="B56" s="166"/>
      <c r="C56" s="166"/>
      <c r="D56" s="166"/>
      <c r="E56" s="166"/>
      <c r="F56" s="166"/>
      <c r="G56" s="166">
        <f>'Capital Cost Estimate'!$AA$456/50</f>
        <v>22576</v>
      </c>
      <c r="H56" s="166">
        <f>'Operating Cost Estimate'!$N$61/50</f>
        <v>415800</v>
      </c>
      <c r="I56" s="166"/>
      <c r="J56" s="166">
        <f>('Operating Cost Estimate'!$N$64/65)</f>
        <v>30800</v>
      </c>
      <c r="K56" s="167">
        <f t="shared" si="6"/>
        <v>469176</v>
      </c>
      <c r="L56" s="168">
        <f t="shared" si="7"/>
        <v>1882284.8618483082</v>
      </c>
      <c r="M56" s="168">
        <f t="shared" si="8"/>
        <v>181535.40810435382</v>
      </c>
    </row>
    <row r="57" spans="1:13" ht="12">
      <c r="A57" s="165">
        <v>48</v>
      </c>
      <c r="B57" s="166"/>
      <c r="C57" s="166"/>
      <c r="D57" s="166"/>
      <c r="E57" s="166"/>
      <c r="F57" s="166"/>
      <c r="G57" s="166">
        <f>'Capital Cost Estimate'!$AA$456/50</f>
        <v>22576</v>
      </c>
      <c r="H57" s="166">
        <f>'Operating Cost Estimate'!$N$61/50</f>
        <v>415800</v>
      </c>
      <c r="I57" s="166"/>
      <c r="J57" s="166">
        <f>('Operating Cost Estimate'!$N$64/65)</f>
        <v>30800</v>
      </c>
      <c r="K57" s="167">
        <f t="shared" si="6"/>
        <v>469176</v>
      </c>
      <c r="L57" s="168">
        <f t="shared" si="7"/>
        <v>1938753.4077037573</v>
      </c>
      <c r="M57" s="168">
        <f t="shared" si="8"/>
        <v>177904.69994226674</v>
      </c>
    </row>
    <row r="58" spans="1:13" ht="12">
      <c r="A58" s="165">
        <v>49</v>
      </c>
      <c r="B58" s="166"/>
      <c r="C58" s="166"/>
      <c r="D58" s="166"/>
      <c r="E58" s="166"/>
      <c r="F58" s="166"/>
      <c r="G58" s="166">
        <f>'Capital Cost Estimate'!$AA$456/50</f>
        <v>22576</v>
      </c>
      <c r="H58" s="166">
        <f>'Operating Cost Estimate'!$N$61/50</f>
        <v>415800</v>
      </c>
      <c r="I58" s="166"/>
      <c r="J58" s="166">
        <f>('Operating Cost Estimate'!$N$64/65)+('Operating Cost Estimate'!$N$65/17)+('Operating Cost Estimate'!$N$66/17)</f>
        <v>204231.17647058822</v>
      </c>
      <c r="K58" s="167">
        <f aca="true" t="shared" si="9" ref="K58:K73">SUM(B58:J58)</f>
        <v>642607.1764705882</v>
      </c>
      <c r="L58" s="168">
        <f aca="true" t="shared" si="10" ref="L58:L73">($K58*((1+L$8)^A58))</f>
        <v>2735077.153974542</v>
      </c>
      <c r="M58" s="168">
        <f aca="true" t="shared" si="11" ref="M58:M73">K58*((1+L$8-M$8)^A58)</f>
        <v>238793.9284458973</v>
      </c>
    </row>
    <row r="59" spans="1:13" ht="12">
      <c r="A59" s="165">
        <v>50</v>
      </c>
      <c r="B59" s="166"/>
      <c r="C59" s="166"/>
      <c r="D59" s="166"/>
      <c r="E59" s="166"/>
      <c r="F59" s="166"/>
      <c r="G59" s="166"/>
      <c r="H59" s="166"/>
      <c r="I59" s="166"/>
      <c r="J59" s="166">
        <f>('Operating Cost Estimate'!$N$64/65)</f>
        <v>30800</v>
      </c>
      <c r="K59" s="167">
        <f t="shared" si="9"/>
        <v>30800</v>
      </c>
      <c r="L59" s="168">
        <f t="shared" si="10"/>
        <v>135024.30537617826</v>
      </c>
      <c r="M59" s="168">
        <f t="shared" si="11"/>
        <v>11216.426146683187</v>
      </c>
    </row>
    <row r="60" spans="1:13" ht="12">
      <c r="A60" s="165">
        <v>51</v>
      </c>
      <c r="B60" s="166"/>
      <c r="C60" s="166"/>
      <c r="D60" s="166"/>
      <c r="E60" s="166"/>
      <c r="F60" s="166"/>
      <c r="G60" s="166"/>
      <c r="H60" s="166"/>
      <c r="I60" s="166"/>
      <c r="J60" s="166">
        <f>('Operating Cost Estimate'!$N$64/65)</f>
        <v>30800</v>
      </c>
      <c r="K60" s="167">
        <f t="shared" si="9"/>
        <v>30800</v>
      </c>
      <c r="L60" s="168">
        <f t="shared" si="10"/>
        <v>139075.0345374636</v>
      </c>
      <c r="M60" s="168">
        <f t="shared" si="11"/>
        <v>10992.097623749525</v>
      </c>
    </row>
    <row r="61" spans="1:13" ht="12">
      <c r="A61" s="165">
        <v>52</v>
      </c>
      <c r="B61" s="166"/>
      <c r="C61" s="166"/>
      <c r="D61" s="166"/>
      <c r="E61" s="166"/>
      <c r="F61" s="166"/>
      <c r="G61" s="166"/>
      <c r="H61" s="166"/>
      <c r="I61" s="166"/>
      <c r="J61" s="166">
        <f>('Operating Cost Estimate'!$N$64/65)</f>
        <v>30800</v>
      </c>
      <c r="K61" s="167">
        <f t="shared" si="9"/>
        <v>30800</v>
      </c>
      <c r="L61" s="168">
        <f t="shared" si="10"/>
        <v>143247.28557358752</v>
      </c>
      <c r="M61" s="168">
        <f t="shared" si="11"/>
        <v>10772.255671274534</v>
      </c>
    </row>
    <row r="62" spans="1:13" ht="12">
      <c r="A62" s="165">
        <v>53</v>
      </c>
      <c r="B62" s="166"/>
      <c r="C62" s="166"/>
      <c r="D62" s="166"/>
      <c r="E62" s="166"/>
      <c r="F62" s="166"/>
      <c r="G62" s="166"/>
      <c r="H62" s="166"/>
      <c r="I62" s="166"/>
      <c r="J62" s="166">
        <f>('Operating Cost Estimate'!$N$64/65)</f>
        <v>30800</v>
      </c>
      <c r="K62" s="167">
        <f t="shared" si="9"/>
        <v>30800</v>
      </c>
      <c r="L62" s="168">
        <f t="shared" si="10"/>
        <v>147544.7041407951</v>
      </c>
      <c r="M62" s="168">
        <f t="shared" si="11"/>
        <v>10556.810557849043</v>
      </c>
    </row>
    <row r="63" spans="1:13" ht="12">
      <c r="A63" s="165">
        <v>54</v>
      </c>
      <c r="B63" s="166"/>
      <c r="C63" s="166"/>
      <c r="D63" s="166"/>
      <c r="E63" s="166"/>
      <c r="F63" s="166"/>
      <c r="G63" s="166"/>
      <c r="H63" s="166"/>
      <c r="I63" s="166"/>
      <c r="J63" s="166">
        <f>('Operating Cost Estimate'!$N$64/65)+('Operating Cost Estimate'!$N$65/17)+('Operating Cost Estimate'!$N$66/17)</f>
        <v>204231.17647058822</v>
      </c>
      <c r="K63" s="167">
        <f t="shared" si="9"/>
        <v>204231.17647058822</v>
      </c>
      <c r="L63" s="168">
        <f t="shared" si="10"/>
        <v>1007702.122205839</v>
      </c>
      <c r="M63" s="168">
        <f t="shared" si="11"/>
        <v>68600.94945475663</v>
      </c>
    </row>
    <row r="64" spans="1:13" ht="12">
      <c r="A64" s="165">
        <v>55</v>
      </c>
      <c r="B64" s="166"/>
      <c r="C64" s="166"/>
      <c r="D64" s="166"/>
      <c r="E64" s="166"/>
      <c r="F64" s="166"/>
      <c r="G64" s="166"/>
      <c r="H64" s="166"/>
      <c r="I64" s="166"/>
      <c r="J64" s="166">
        <f>('Operating Cost Estimate'!$N$64/65)</f>
        <v>30800</v>
      </c>
      <c r="K64" s="167">
        <f t="shared" si="9"/>
        <v>30800</v>
      </c>
      <c r="L64" s="168">
        <f t="shared" si="10"/>
        <v>156530.17662296956</v>
      </c>
      <c r="M64" s="168">
        <f t="shared" si="11"/>
        <v>10138.76085975822</v>
      </c>
    </row>
    <row r="65" spans="1:13" ht="12">
      <c r="A65" s="165">
        <v>56</v>
      </c>
      <c r="B65" s="166"/>
      <c r="C65" s="166"/>
      <c r="D65" s="166"/>
      <c r="E65" s="166"/>
      <c r="F65" s="166"/>
      <c r="G65" s="166"/>
      <c r="H65" s="166"/>
      <c r="I65" s="166"/>
      <c r="J65" s="166">
        <f>('Operating Cost Estimate'!$N$64/65)</f>
        <v>30800</v>
      </c>
      <c r="K65" s="167">
        <f t="shared" si="9"/>
        <v>30800</v>
      </c>
      <c r="L65" s="168">
        <f t="shared" si="10"/>
        <v>161226.08192165862</v>
      </c>
      <c r="M65" s="168">
        <f t="shared" si="11"/>
        <v>9935.985642563055</v>
      </c>
    </row>
    <row r="66" spans="1:13" ht="12">
      <c r="A66" s="165">
        <v>57</v>
      </c>
      <c r="B66" s="166"/>
      <c r="C66" s="166"/>
      <c r="D66" s="166"/>
      <c r="E66" s="166"/>
      <c r="F66" s="166"/>
      <c r="G66" s="166"/>
      <c r="H66" s="166"/>
      <c r="I66" s="166"/>
      <c r="J66" s="166">
        <f>('Operating Cost Estimate'!$N$64/65)</f>
        <v>30800</v>
      </c>
      <c r="K66" s="167">
        <f t="shared" si="9"/>
        <v>30800</v>
      </c>
      <c r="L66" s="168">
        <f t="shared" si="10"/>
        <v>166062.8643793084</v>
      </c>
      <c r="M66" s="168">
        <f t="shared" si="11"/>
        <v>9737.265929711793</v>
      </c>
    </row>
    <row r="67" spans="1:13" ht="12">
      <c r="A67" s="165">
        <v>58</v>
      </c>
      <c r="B67" s="166"/>
      <c r="C67" s="166"/>
      <c r="D67" s="166"/>
      <c r="E67" s="166"/>
      <c r="F67" s="166"/>
      <c r="G67" s="166"/>
      <c r="H67" s="166"/>
      <c r="I67" s="166"/>
      <c r="J67" s="166">
        <f>('Operating Cost Estimate'!$N$64/65)</f>
        <v>30800</v>
      </c>
      <c r="K67" s="167">
        <f t="shared" si="9"/>
        <v>30800</v>
      </c>
      <c r="L67" s="168">
        <f t="shared" si="10"/>
        <v>171044.75031068764</v>
      </c>
      <c r="M67" s="168">
        <f t="shared" si="11"/>
        <v>9542.520611117558</v>
      </c>
    </row>
    <row r="68" spans="1:13" ht="12">
      <c r="A68" s="165">
        <v>59</v>
      </c>
      <c r="B68" s="166"/>
      <c r="C68" s="166"/>
      <c r="D68" s="166"/>
      <c r="E68" s="166"/>
      <c r="F68" s="166"/>
      <c r="G68" s="166"/>
      <c r="H68" s="166"/>
      <c r="I68" s="166"/>
      <c r="J68" s="166">
        <f>('Operating Cost Estimate'!$N$64/65)+('Operating Cost Estimate'!$N$65/17)+('Operating Cost Estimate'!$N$66/17)</f>
        <v>204231.17647058822</v>
      </c>
      <c r="K68" s="167">
        <f t="shared" si="9"/>
        <v>204231.17647058822</v>
      </c>
      <c r="L68" s="168">
        <f t="shared" si="10"/>
        <v>1168202.9448903196</v>
      </c>
      <c r="M68" s="168">
        <f t="shared" si="11"/>
        <v>62009.824892380115</v>
      </c>
    </row>
    <row r="69" spans="1:13" ht="12">
      <c r="A69" s="165">
        <v>60</v>
      </c>
      <c r="B69" s="166"/>
      <c r="C69" s="166"/>
      <c r="D69" s="166"/>
      <c r="E69" s="166"/>
      <c r="F69" s="166"/>
      <c r="G69" s="166"/>
      <c r="H69" s="166"/>
      <c r="I69" s="166"/>
      <c r="J69" s="166">
        <f>('Operating Cost Estimate'!$N$64/65)</f>
        <v>30800</v>
      </c>
      <c r="K69" s="167">
        <f t="shared" si="9"/>
        <v>30800</v>
      </c>
      <c r="L69" s="168">
        <f t="shared" si="10"/>
        <v>181461.3756046085</v>
      </c>
      <c r="M69" s="168">
        <f t="shared" si="11"/>
        <v>9164.6367949173</v>
      </c>
    </row>
    <row r="70" spans="1:13" ht="12">
      <c r="A70" s="165">
        <v>61</v>
      </c>
      <c r="B70" s="166"/>
      <c r="C70" s="166"/>
      <c r="D70" s="166"/>
      <c r="E70" s="166"/>
      <c r="F70" s="166"/>
      <c r="G70" s="166"/>
      <c r="H70" s="166"/>
      <c r="I70" s="166"/>
      <c r="J70" s="166">
        <f>('Operating Cost Estimate'!$N$64/65)</f>
        <v>30800</v>
      </c>
      <c r="K70" s="167">
        <f t="shared" si="9"/>
        <v>30800</v>
      </c>
      <c r="L70" s="168">
        <f t="shared" si="10"/>
        <v>186905.21687274674</v>
      </c>
      <c r="M70" s="168">
        <f t="shared" si="11"/>
        <v>8981.344059018955</v>
      </c>
    </row>
    <row r="71" spans="1:13" ht="12">
      <c r="A71" s="165">
        <v>62</v>
      </c>
      <c r="B71" s="166"/>
      <c r="C71" s="166"/>
      <c r="D71" s="166"/>
      <c r="E71" s="166"/>
      <c r="F71" s="166"/>
      <c r="G71" s="166"/>
      <c r="H71" s="166"/>
      <c r="I71" s="166"/>
      <c r="J71" s="166">
        <f>('Operating Cost Estimate'!$N$64/65)</f>
        <v>30800</v>
      </c>
      <c r="K71" s="167">
        <f t="shared" si="9"/>
        <v>30800</v>
      </c>
      <c r="L71" s="168">
        <f t="shared" si="10"/>
        <v>192512.37337892916</v>
      </c>
      <c r="M71" s="168">
        <f t="shared" si="11"/>
        <v>8801.717177838576</v>
      </c>
    </row>
    <row r="72" spans="1:13" ht="12">
      <c r="A72" s="165">
        <v>63</v>
      </c>
      <c r="B72" s="166"/>
      <c r="C72" s="166"/>
      <c r="D72" s="166"/>
      <c r="E72" s="166"/>
      <c r="F72" s="166"/>
      <c r="G72" s="166"/>
      <c r="H72" s="166"/>
      <c r="I72" s="166"/>
      <c r="J72" s="166">
        <f>('Operating Cost Estimate'!$N$64/65)</f>
        <v>30800</v>
      </c>
      <c r="K72" s="167">
        <f t="shared" si="9"/>
        <v>30800</v>
      </c>
      <c r="L72" s="168">
        <f t="shared" si="10"/>
        <v>198287.74458029706</v>
      </c>
      <c r="M72" s="168">
        <f t="shared" si="11"/>
        <v>8625.682834281803</v>
      </c>
    </row>
    <row r="73" spans="1:13" ht="12">
      <c r="A73" s="165">
        <v>64</v>
      </c>
      <c r="B73" s="166"/>
      <c r="C73" s="166"/>
      <c r="D73" s="166"/>
      <c r="E73" s="166"/>
      <c r="F73" s="166"/>
      <c r="G73" s="166"/>
      <c r="H73" s="166"/>
      <c r="I73" s="166"/>
      <c r="J73" s="166">
        <f>('Operating Cost Estimate'!$N$64/65)+('Operating Cost Estimate'!$N$65/17)+('Operating Cost Estimate'!$N$66/17)</f>
        <v>204231.17647058822</v>
      </c>
      <c r="K73" s="167">
        <f t="shared" si="9"/>
        <v>204231.17647058822</v>
      </c>
      <c r="L73" s="168">
        <f t="shared" si="10"/>
        <v>1354267.3875322589</v>
      </c>
      <c r="M73" s="168">
        <f t="shared" si="11"/>
        <v>56051.9703261487</v>
      </c>
    </row>
    <row r="74" spans="1:13" ht="12">
      <c r="A74" s="163" t="s">
        <v>97</v>
      </c>
      <c r="B74" s="164">
        <f aca="true" t="shared" si="12" ref="B74:G74">SUM(B9:B73)</f>
        <v>488870.00000000006</v>
      </c>
      <c r="C74" s="164">
        <f t="shared" si="12"/>
        <v>234967.35600000003</v>
      </c>
      <c r="D74" s="164">
        <f t="shared" si="12"/>
        <v>448200</v>
      </c>
      <c r="E74" s="164">
        <f t="shared" si="12"/>
        <v>2226908.924</v>
      </c>
      <c r="F74" s="164">
        <f t="shared" si="12"/>
        <v>0</v>
      </c>
      <c r="G74" s="164">
        <f t="shared" si="12"/>
        <v>1128800</v>
      </c>
      <c r="H74" s="164">
        <f aca="true" t="shared" si="13" ref="H74:M74">SUM(H9:H73)</f>
        <v>25451000</v>
      </c>
      <c r="I74" s="164">
        <f t="shared" si="13"/>
        <v>0</v>
      </c>
      <c r="J74" s="164">
        <f>SUM(J9:J73)</f>
        <v>4950330</v>
      </c>
      <c r="K74" s="164">
        <f t="shared" si="13"/>
        <v>34929076.279999994</v>
      </c>
      <c r="L74" s="164">
        <f t="shared" si="13"/>
        <v>75604397.72887242</v>
      </c>
      <c r="M74" s="164">
        <f t="shared" si="13"/>
        <v>23602643.032743547</v>
      </c>
    </row>
    <row r="76" spans="2:13" ht="12"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M76" s="153"/>
    </row>
    <row r="77" spans="1:11" ht="12">
      <c r="A77" s="152"/>
      <c r="B77" s="152"/>
      <c r="C77" s="152"/>
      <c r="D77" s="152"/>
      <c r="E77" s="152"/>
      <c r="F77" s="152"/>
      <c r="G77" s="152"/>
      <c r="H77" s="152"/>
      <c r="I77" s="152"/>
      <c r="J77" s="152"/>
      <c r="K77" s="152"/>
    </row>
    <row r="78" spans="1:11" ht="12">
      <c r="A78" s="152"/>
      <c r="B78" s="152"/>
      <c r="C78" s="152"/>
      <c r="D78" s="152"/>
      <c r="E78" s="152"/>
      <c r="F78" s="152"/>
      <c r="G78" s="152"/>
      <c r="H78" s="152"/>
      <c r="I78" s="152"/>
      <c r="J78" s="152"/>
      <c r="K78" s="154"/>
    </row>
    <row r="79" spans="1:11" ht="12">
      <c r="A79" s="169"/>
      <c r="B79" s="152"/>
      <c r="C79" s="152"/>
      <c r="D79" s="152"/>
      <c r="E79" s="152"/>
      <c r="F79" s="152"/>
      <c r="G79" s="152"/>
      <c r="H79" s="152"/>
      <c r="I79" s="152"/>
      <c r="J79" s="152"/>
      <c r="K79" s="152"/>
    </row>
    <row r="80" spans="1:11" ht="12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</row>
    <row r="81" spans="1:11" ht="12">
      <c r="A81" s="152"/>
      <c r="B81" s="152"/>
      <c r="C81" s="152"/>
      <c r="D81" s="152"/>
      <c r="E81" s="152"/>
      <c r="F81" s="152"/>
      <c r="G81" s="152"/>
      <c r="H81" s="152"/>
      <c r="I81" s="152"/>
      <c r="J81" s="152"/>
      <c r="K81" s="152"/>
    </row>
    <row r="82" spans="1:11" ht="12">
      <c r="A82" s="152"/>
      <c r="B82" s="152"/>
      <c r="C82" s="152"/>
      <c r="D82" s="152"/>
      <c r="E82" s="152"/>
      <c r="F82" s="152"/>
      <c r="G82" s="152"/>
      <c r="H82" s="152"/>
      <c r="I82" s="152"/>
      <c r="J82" s="152"/>
      <c r="K82" s="152"/>
    </row>
    <row r="83" spans="1:11" ht="12">
      <c r="A83" s="152"/>
      <c r="B83" s="152"/>
      <c r="C83" s="152"/>
      <c r="D83" s="152"/>
      <c r="E83" s="152"/>
      <c r="F83" s="152"/>
      <c r="G83" s="152"/>
      <c r="H83" s="152"/>
      <c r="I83" s="152"/>
      <c r="J83" s="152"/>
      <c r="K83" s="152"/>
    </row>
    <row r="84" spans="1:11" ht="12">
      <c r="A84" s="152"/>
      <c r="B84" s="152"/>
      <c r="C84" s="152"/>
      <c r="D84" s="152"/>
      <c r="E84" s="152"/>
      <c r="F84" s="152"/>
      <c r="G84" s="152"/>
      <c r="H84" s="152"/>
      <c r="I84" s="152"/>
      <c r="J84" s="152"/>
      <c r="K84" s="152"/>
    </row>
    <row r="85" spans="1:11" ht="12">
      <c r="A85" s="152"/>
      <c r="B85" s="152"/>
      <c r="C85" s="152"/>
      <c r="D85" s="152"/>
      <c r="E85" s="152"/>
      <c r="F85" s="152"/>
      <c r="G85" s="152"/>
      <c r="H85" s="152"/>
      <c r="I85" s="152"/>
      <c r="J85" s="152"/>
      <c r="K85" s="152"/>
    </row>
    <row r="86" spans="1:11" ht="12">
      <c r="A86" s="152"/>
      <c r="B86" s="152"/>
      <c r="C86" s="152"/>
      <c r="D86" s="152"/>
      <c r="E86" s="152"/>
      <c r="F86" s="152"/>
      <c r="G86" s="152"/>
      <c r="H86" s="152"/>
      <c r="I86" s="152"/>
      <c r="J86" s="152"/>
      <c r="K86" s="152"/>
    </row>
    <row r="87" spans="1:11" ht="12">
      <c r="A87" s="152"/>
      <c r="B87" s="152"/>
      <c r="C87" s="152"/>
      <c r="D87" s="152"/>
      <c r="E87" s="152"/>
      <c r="F87" s="152"/>
      <c r="G87" s="152"/>
      <c r="H87" s="152"/>
      <c r="I87" s="152"/>
      <c r="J87" s="152"/>
      <c r="K87" s="152"/>
    </row>
    <row r="88" spans="1:11" ht="12">
      <c r="A88" s="152"/>
      <c r="B88" s="152"/>
      <c r="C88" s="152"/>
      <c r="D88" s="152"/>
      <c r="E88" s="152"/>
      <c r="F88" s="152"/>
      <c r="G88" s="152"/>
      <c r="H88" s="152"/>
      <c r="I88" s="152"/>
      <c r="J88" s="152"/>
      <c r="K88" s="152"/>
    </row>
    <row r="89" spans="1:11" ht="12">
      <c r="A89" s="152"/>
      <c r="B89" s="152"/>
      <c r="C89" s="152"/>
      <c r="D89" s="152"/>
      <c r="E89" s="152"/>
      <c r="F89" s="152"/>
      <c r="G89" s="152"/>
      <c r="H89" s="152"/>
      <c r="I89" s="152"/>
      <c r="J89" s="152"/>
      <c r="K89" s="152"/>
    </row>
    <row r="90" spans="1:11" ht="12">
      <c r="A90" s="152"/>
      <c r="B90" s="152"/>
      <c r="C90" s="152"/>
      <c r="D90" s="152"/>
      <c r="E90" s="152"/>
      <c r="F90" s="152"/>
      <c r="G90" s="152"/>
      <c r="H90" s="152"/>
      <c r="I90" s="152"/>
      <c r="J90" s="152"/>
      <c r="K90" s="152"/>
    </row>
    <row r="91" spans="1:11" ht="12">
      <c r="A91" s="152"/>
      <c r="B91" s="152"/>
      <c r="C91" s="152"/>
      <c r="D91" s="152"/>
      <c r="E91" s="152"/>
      <c r="F91" s="152"/>
      <c r="G91" s="152"/>
      <c r="H91" s="152"/>
      <c r="I91" s="152"/>
      <c r="J91" s="152"/>
      <c r="K91" s="152"/>
    </row>
    <row r="92" spans="1:11" ht="12">
      <c r="A92" s="152"/>
      <c r="B92" s="152"/>
      <c r="C92" s="152"/>
      <c r="D92" s="152"/>
      <c r="E92" s="152"/>
      <c r="F92" s="152"/>
      <c r="G92" s="152"/>
      <c r="H92" s="152"/>
      <c r="I92" s="152"/>
      <c r="J92" s="152"/>
      <c r="K92" s="152"/>
    </row>
    <row r="93" spans="1:11" ht="12">
      <c r="A93" s="152"/>
      <c r="B93" s="152"/>
      <c r="C93" s="152"/>
      <c r="D93" s="152"/>
      <c r="E93" s="152"/>
      <c r="F93" s="152"/>
      <c r="G93" s="152"/>
      <c r="H93" s="152"/>
      <c r="I93" s="152"/>
      <c r="J93" s="152"/>
      <c r="K93" s="152"/>
    </row>
    <row r="94" spans="1:11" ht="12">
      <c r="A94" s="152"/>
      <c r="B94" s="152"/>
      <c r="C94" s="152"/>
      <c r="D94" s="152"/>
      <c r="E94" s="152"/>
      <c r="F94" s="152"/>
      <c r="G94" s="152"/>
      <c r="H94" s="152"/>
      <c r="I94" s="152"/>
      <c r="J94" s="152"/>
      <c r="K94" s="152"/>
    </row>
    <row r="95" spans="1:11" ht="12">
      <c r="A95" s="152"/>
      <c r="B95" s="152"/>
      <c r="C95" s="152"/>
      <c r="D95" s="152"/>
      <c r="E95" s="152"/>
      <c r="F95" s="152"/>
      <c r="G95" s="152"/>
      <c r="H95" s="152"/>
      <c r="I95" s="152"/>
      <c r="J95" s="152"/>
      <c r="K95" s="152"/>
    </row>
    <row r="96" spans="1:11" ht="12">
      <c r="A96" s="152"/>
      <c r="B96" s="152"/>
      <c r="C96" s="152"/>
      <c r="D96" s="152"/>
      <c r="E96" s="152"/>
      <c r="F96" s="152"/>
      <c r="G96" s="152"/>
      <c r="H96" s="152"/>
      <c r="I96" s="152"/>
      <c r="J96" s="152"/>
      <c r="K96" s="154"/>
    </row>
    <row r="97" spans="1:11" ht="12">
      <c r="A97" s="152"/>
      <c r="B97" s="152"/>
      <c r="C97" s="152"/>
      <c r="D97" s="152"/>
      <c r="E97" s="152"/>
      <c r="F97" s="152"/>
      <c r="G97" s="152"/>
      <c r="H97" s="152"/>
      <c r="I97" s="152"/>
      <c r="J97" s="152"/>
      <c r="K97" s="154"/>
    </row>
    <row r="98" spans="1:11" ht="12">
      <c r="A98" s="152"/>
      <c r="B98" s="152"/>
      <c r="C98" s="152"/>
      <c r="D98" s="152"/>
      <c r="E98" s="152"/>
      <c r="F98" s="152"/>
      <c r="G98" s="152"/>
      <c r="H98" s="152"/>
      <c r="I98" s="152"/>
      <c r="J98" s="152"/>
      <c r="K98" s="154"/>
    </row>
    <row r="99" spans="1:11" ht="12">
      <c r="A99" s="152"/>
      <c r="B99" s="152"/>
      <c r="C99" s="152"/>
      <c r="D99" s="152"/>
      <c r="E99" s="152"/>
      <c r="F99" s="152"/>
      <c r="G99" s="152"/>
      <c r="H99" s="152"/>
      <c r="I99" s="152"/>
      <c r="J99" s="152"/>
      <c r="K99" s="152"/>
    </row>
    <row r="100" spans="1:11" ht="12">
      <c r="A100" s="152"/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</row>
    <row r="101" spans="1:11" ht="12">
      <c r="A101" s="152"/>
      <c r="B101" s="152"/>
      <c r="C101" s="152"/>
      <c r="D101" s="152"/>
      <c r="E101" s="152"/>
      <c r="F101" s="152"/>
      <c r="G101" s="152"/>
      <c r="H101" s="152"/>
      <c r="I101" s="152"/>
      <c r="J101" s="152"/>
      <c r="K101" s="154"/>
    </row>
    <row r="102" spans="1:11" ht="12">
      <c r="A102" s="152"/>
      <c r="B102" s="152"/>
      <c r="C102" s="152"/>
      <c r="D102" s="152"/>
      <c r="E102" s="152"/>
      <c r="F102" s="152"/>
      <c r="G102" s="152"/>
      <c r="H102" s="152"/>
      <c r="I102" s="152"/>
      <c r="J102" s="152"/>
      <c r="K102" s="154"/>
    </row>
    <row r="103" spans="1:11" ht="12">
      <c r="A103" s="152"/>
      <c r="B103" s="152"/>
      <c r="C103" s="152"/>
      <c r="D103" s="152"/>
      <c r="E103" s="152"/>
      <c r="F103" s="152"/>
      <c r="G103" s="152"/>
      <c r="H103" s="152"/>
      <c r="I103" s="152"/>
      <c r="J103" s="152"/>
      <c r="K103" s="154"/>
    </row>
    <row r="104" spans="1:11" ht="12">
      <c r="A104" s="152"/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</row>
    <row r="105" spans="1:11" ht="12">
      <c r="A105" s="152"/>
      <c r="B105" s="152"/>
      <c r="C105" s="152"/>
      <c r="D105" s="152"/>
      <c r="E105" s="152"/>
      <c r="F105" s="152"/>
      <c r="G105" s="152"/>
      <c r="H105" s="152"/>
      <c r="I105" s="152"/>
      <c r="J105" s="152"/>
      <c r="K105" s="152"/>
    </row>
    <row r="106" spans="1:11" ht="12">
      <c r="A106" s="152"/>
      <c r="B106" s="152"/>
      <c r="C106" s="152"/>
      <c r="D106" s="152"/>
      <c r="E106" s="152"/>
      <c r="F106" s="152"/>
      <c r="G106" s="152"/>
      <c r="H106" s="152"/>
      <c r="I106" s="152"/>
      <c r="J106" s="152"/>
      <c r="K106" s="154"/>
    </row>
    <row r="107" spans="1:11" ht="12">
      <c r="A107" s="152"/>
      <c r="B107" s="152"/>
      <c r="C107" s="152"/>
      <c r="D107" s="152"/>
      <c r="E107" s="152"/>
      <c r="F107" s="152"/>
      <c r="G107" s="152"/>
      <c r="H107" s="152"/>
      <c r="I107" s="152"/>
      <c r="J107" s="152"/>
      <c r="K107" s="154"/>
    </row>
    <row r="108" spans="1:11" ht="12">
      <c r="A108" s="152"/>
      <c r="B108" s="152"/>
      <c r="C108" s="152"/>
      <c r="D108" s="152"/>
      <c r="E108" s="152"/>
      <c r="F108" s="152"/>
      <c r="G108" s="152"/>
      <c r="H108" s="152"/>
      <c r="I108" s="152"/>
      <c r="J108" s="152"/>
      <c r="K108" s="154"/>
    </row>
    <row r="115" spans="8:10" ht="12">
      <c r="H115" s="155"/>
      <c r="I115" s="155"/>
      <c r="J115" s="155"/>
    </row>
    <row r="117" ht="4.5" customHeight="1"/>
    <row r="119" ht="4.5" customHeight="1"/>
    <row r="121" ht="4.5" customHeight="1"/>
    <row r="123" ht="4.5" customHeight="1"/>
    <row r="127" ht="4.5" customHeight="1"/>
    <row r="131" ht="4.5" customHeight="1"/>
    <row r="136" ht="12">
      <c r="G136" s="156"/>
    </row>
    <row r="137" ht="12">
      <c r="G137" s="156"/>
    </row>
    <row r="138" ht="12">
      <c r="G138" s="156"/>
    </row>
    <row r="144" ht="4.5" customHeight="1"/>
    <row r="148" ht="4.5" customHeight="1"/>
    <row r="149" spans="2:4" ht="12">
      <c r="B149" s="157"/>
      <c r="C149" s="157"/>
      <c r="D149" s="157"/>
    </row>
  </sheetData>
  <mergeCells count="6">
    <mergeCell ref="H7:J7"/>
    <mergeCell ref="A6:A8"/>
    <mergeCell ref="B3:K3"/>
    <mergeCell ref="B6:J6"/>
    <mergeCell ref="K6:K8"/>
    <mergeCell ref="B7:G7"/>
  </mergeCells>
  <hyperlinks>
    <hyperlink ref="L9" r:id="rId1" display="=@npv(L8,K9)"/>
    <hyperlink ref="M9" r:id="rId2" display="=@npv(L8,K9)"/>
  </hyperlinks>
  <printOptions/>
  <pageMargins left="0.75" right="0.75" top="1" bottom="1" header="0.5" footer="0.5"/>
  <pageSetup fitToHeight="2" fitToWidth="1" horizontalDpi="600" verticalDpi="600" orientation="landscape" scale="76" r:id="rId3"/>
  <headerFooter alignWithMargins="0">
    <oddFooter>&amp;L&amp;"Braggadocio,Regular"CSP&amp;X2&amp;RPage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9"/>
  <sheetViews>
    <sheetView zoomScale="75" zoomScaleNormal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126" sqref="K126"/>
    </sheetView>
  </sheetViews>
  <sheetFormatPr defaultColWidth="9.140625" defaultRowHeight="12.75"/>
  <cols>
    <col min="1" max="1" width="15.421875" style="147" customWidth="1"/>
    <col min="2" max="4" width="11.7109375" style="147" customWidth="1"/>
    <col min="5" max="6" width="12.7109375" style="147" customWidth="1"/>
    <col min="7" max="7" width="11.7109375" style="147" bestFit="1" customWidth="1"/>
    <col min="8" max="10" width="11.7109375" style="147" customWidth="1"/>
    <col min="11" max="11" width="14.28125" style="147" customWidth="1"/>
    <col min="12" max="13" width="12.7109375" style="147" bestFit="1" customWidth="1"/>
    <col min="14" max="156" width="11.00390625" style="147" bestFit="1" customWidth="1"/>
    <col min="157" max="157" width="12.00390625" style="147" bestFit="1" customWidth="1"/>
    <col min="158" max="16384" width="8.00390625" style="147" customWidth="1"/>
  </cols>
  <sheetData>
    <row r="1" spans="1:11" ht="12">
      <c r="A1" s="144"/>
      <c r="B1" s="145" t="s">
        <v>490</v>
      </c>
      <c r="C1" s="145"/>
      <c r="D1" s="145"/>
      <c r="E1" s="146"/>
      <c r="F1" s="146"/>
      <c r="G1" s="146"/>
      <c r="H1" s="146"/>
      <c r="I1" s="146"/>
      <c r="J1" s="146"/>
      <c r="K1" s="146"/>
    </row>
    <row r="2" spans="2:11" ht="12">
      <c r="B2" s="145" t="s">
        <v>529</v>
      </c>
      <c r="C2" s="145"/>
      <c r="D2" s="145"/>
      <c r="E2" s="146"/>
      <c r="F2" s="146"/>
      <c r="G2" s="146"/>
      <c r="H2" s="146"/>
      <c r="I2" s="146"/>
      <c r="J2" s="146"/>
      <c r="K2" s="146"/>
    </row>
    <row r="3" spans="2:11" ht="12">
      <c r="B3" s="549" t="s">
        <v>530</v>
      </c>
      <c r="C3" s="549"/>
      <c r="D3" s="549"/>
      <c r="E3" s="550"/>
      <c r="F3" s="550"/>
      <c r="G3" s="550"/>
      <c r="H3" s="550"/>
      <c r="I3" s="550"/>
      <c r="J3" s="550"/>
      <c r="K3" s="550"/>
    </row>
    <row r="4" spans="2:11" ht="12">
      <c r="B4" s="145"/>
      <c r="C4" s="145"/>
      <c r="D4" s="145"/>
      <c r="E4" s="146"/>
      <c r="F4" s="146"/>
      <c r="G4" s="146"/>
      <c r="H4" s="146"/>
      <c r="I4" s="146"/>
      <c r="J4" s="146"/>
      <c r="K4" s="146"/>
    </row>
    <row r="6" spans="1:13" ht="12">
      <c r="A6" s="551" t="s">
        <v>95</v>
      </c>
      <c r="B6" s="553" t="s">
        <v>118</v>
      </c>
      <c r="C6" s="553"/>
      <c r="D6" s="553"/>
      <c r="E6" s="553"/>
      <c r="F6" s="553"/>
      <c r="G6" s="553"/>
      <c r="H6" s="554"/>
      <c r="I6" s="554"/>
      <c r="J6" s="554"/>
      <c r="K6" s="555" t="s">
        <v>98</v>
      </c>
      <c r="L6" s="148" t="s">
        <v>119</v>
      </c>
      <c r="M6" s="149" t="s">
        <v>120</v>
      </c>
    </row>
    <row r="7" spans="1:13" ht="12.75">
      <c r="A7" s="552"/>
      <c r="B7" s="558" t="s">
        <v>93</v>
      </c>
      <c r="C7" s="559"/>
      <c r="D7" s="559"/>
      <c r="E7" s="559"/>
      <c r="F7" s="559"/>
      <c r="G7" s="560"/>
      <c r="H7" s="561" t="s">
        <v>94</v>
      </c>
      <c r="I7" s="562"/>
      <c r="J7" s="563"/>
      <c r="K7" s="556"/>
      <c r="L7" s="150" t="s">
        <v>121</v>
      </c>
      <c r="M7" s="151" t="s">
        <v>122</v>
      </c>
    </row>
    <row r="8" spans="1:13" ht="36">
      <c r="A8" s="552"/>
      <c r="B8" s="158" t="s">
        <v>135</v>
      </c>
      <c r="C8" s="159" t="s">
        <v>491</v>
      </c>
      <c r="D8" s="159" t="s">
        <v>142</v>
      </c>
      <c r="E8" s="160" t="s">
        <v>126</v>
      </c>
      <c r="F8" s="158" t="s">
        <v>31</v>
      </c>
      <c r="G8" s="158" t="s">
        <v>96</v>
      </c>
      <c r="H8" s="159" t="s">
        <v>123</v>
      </c>
      <c r="I8" s="158" t="s">
        <v>124</v>
      </c>
      <c r="J8" s="158" t="s">
        <v>125</v>
      </c>
      <c r="K8" s="557"/>
      <c r="L8" s="161">
        <v>0.03</v>
      </c>
      <c r="M8" s="162">
        <v>0.05</v>
      </c>
    </row>
    <row r="9" spans="1:13" ht="12">
      <c r="A9" s="165">
        <v>0</v>
      </c>
      <c r="B9" s="166">
        <f>'Capital Cost Estimate'!$AE$423/2</f>
        <v>244435.00000000003</v>
      </c>
      <c r="C9" s="166">
        <f>'Capital Cost Estimate'!$AE$428/2</f>
        <v>117483.67800000001</v>
      </c>
      <c r="D9" s="166">
        <f>'Capital Cost Estimate'!$AE$433</f>
        <v>448200</v>
      </c>
      <c r="E9" s="166">
        <f>'Capital Cost Estimate'!$AE$449/2</f>
        <v>1113454.462</v>
      </c>
      <c r="F9" s="166">
        <f>'Capital Cost Estimate'!$AE$454</f>
        <v>0</v>
      </c>
      <c r="G9" s="166">
        <f>'Capital Cost Estimate'!$AE$456/100</f>
        <v>19588.000000000004</v>
      </c>
      <c r="H9" s="166">
        <f>'Operating Cost Estimate'!$P$61/100</f>
        <v>415800</v>
      </c>
      <c r="I9" s="166">
        <f>'Operating Cost Estimate'!$P$62</f>
        <v>0</v>
      </c>
      <c r="J9" s="166">
        <f>('Operating Cost Estimate'!$P$64/115)+('Operating Cost Estimate'!$P$65/27)+('Operating Cost Estimate'!$P$66/27)</f>
        <v>202738.14814814815</v>
      </c>
      <c r="K9" s="167">
        <f>SUM(B9:J9)</f>
        <v>2561699.2881481485</v>
      </c>
      <c r="L9" s="168">
        <f aca="true" t="shared" si="0" ref="L9:L122">($K9*((1+L$8)^A9))</f>
        <v>2561699.2881481485</v>
      </c>
      <c r="M9" s="168">
        <f aca="true" t="shared" si="1" ref="M9:M122">K9*((1+L$8-M$8)^A9)</f>
        <v>2561699.2881481485</v>
      </c>
    </row>
    <row r="10" spans="1:13" ht="12">
      <c r="A10" s="165">
        <f>1+A9</f>
        <v>1</v>
      </c>
      <c r="B10" s="166">
        <f>'Capital Cost Estimate'!$AE$423/2</f>
        <v>244435.00000000003</v>
      </c>
      <c r="C10" s="166">
        <f>'Capital Cost Estimate'!$AE$428/2</f>
        <v>117483.67800000001</v>
      </c>
      <c r="D10" s="166"/>
      <c r="E10" s="166">
        <f>'Capital Cost Estimate'!$AE$449/2</f>
        <v>1113454.462</v>
      </c>
      <c r="F10" s="166"/>
      <c r="G10" s="166">
        <f>'Capital Cost Estimate'!$AE$456/100</f>
        <v>19588.000000000004</v>
      </c>
      <c r="H10" s="166">
        <f>'Operating Cost Estimate'!$P$61/100</f>
        <v>415800</v>
      </c>
      <c r="I10" s="166"/>
      <c r="J10" s="166">
        <f>('Operating Cost Estimate'!$P$64/115)+('Operating Cost Estimate'!$P$65/27)+('Operating Cost Estimate'!$P$66/27)</f>
        <v>202738.14814814815</v>
      </c>
      <c r="K10" s="167">
        <f aca="true" t="shared" si="2" ref="K10:K122">SUM(B10:J10)</f>
        <v>2113499.2881481485</v>
      </c>
      <c r="L10" s="168">
        <f t="shared" si="0"/>
        <v>2176904.266792593</v>
      </c>
      <c r="M10" s="168">
        <f t="shared" si="1"/>
        <v>2071229.3023851854</v>
      </c>
    </row>
    <row r="11" spans="1:13" ht="12">
      <c r="A11" s="165">
        <f>1+A10</f>
        <v>2</v>
      </c>
      <c r="B11" s="166"/>
      <c r="C11" s="166"/>
      <c r="D11" s="166"/>
      <c r="E11" s="166"/>
      <c r="F11" s="166"/>
      <c r="G11" s="166">
        <f>'Capital Cost Estimate'!$AE$456/100</f>
        <v>19588.000000000004</v>
      </c>
      <c r="H11" s="166">
        <f>'Operating Cost Estimate'!$P$61/100</f>
        <v>415800</v>
      </c>
      <c r="I11" s="166"/>
      <c r="J11" s="166">
        <f>('Operating Cost Estimate'!$P$64/115)+('Operating Cost Estimate'!$P$65/27)+('Operating Cost Estimate'!$P$66/27)</f>
        <v>202738.14814814815</v>
      </c>
      <c r="K11" s="167">
        <f t="shared" si="2"/>
        <v>638126.1481481481</v>
      </c>
      <c r="L11" s="168">
        <f t="shared" si="0"/>
        <v>676988.0305703703</v>
      </c>
      <c r="M11" s="168">
        <f t="shared" si="1"/>
        <v>612856.3526814814</v>
      </c>
    </row>
    <row r="12" spans="1:13" ht="12">
      <c r="A12" s="165">
        <v>3</v>
      </c>
      <c r="B12" s="419"/>
      <c r="C12" s="166"/>
      <c r="D12" s="166"/>
      <c r="E12" s="166"/>
      <c r="F12" s="166"/>
      <c r="G12" s="166">
        <f>'Capital Cost Estimate'!$AE$456/100</f>
        <v>19588.000000000004</v>
      </c>
      <c r="H12" s="166">
        <f>'Operating Cost Estimate'!$P$61/100</f>
        <v>415800</v>
      </c>
      <c r="I12" s="166"/>
      <c r="J12" s="166">
        <f>('Operating Cost Estimate'!$P$64/115)+('Operating Cost Estimate'!$P$65/27)+('Operating Cost Estimate'!$P$66/27)</f>
        <v>202738.14814814815</v>
      </c>
      <c r="K12" s="167">
        <f t="shared" si="2"/>
        <v>638126.1481481481</v>
      </c>
      <c r="L12" s="168">
        <f t="shared" si="0"/>
        <v>697297.6714874814</v>
      </c>
      <c r="M12" s="168">
        <f t="shared" si="1"/>
        <v>600599.2256278518</v>
      </c>
    </row>
    <row r="13" spans="1:13" ht="12">
      <c r="A13" s="165">
        <v>4</v>
      </c>
      <c r="B13" s="419"/>
      <c r="C13" s="166"/>
      <c r="D13" s="166"/>
      <c r="E13" s="166"/>
      <c r="F13" s="166"/>
      <c r="G13" s="166">
        <f>'Capital Cost Estimate'!$AE$456/100</f>
        <v>19588.000000000004</v>
      </c>
      <c r="H13" s="166">
        <f>'Operating Cost Estimate'!$P$61/100</f>
        <v>415800</v>
      </c>
      <c r="I13" s="166"/>
      <c r="J13" s="166">
        <f>('Operating Cost Estimate'!$P$64/115)+('Operating Cost Estimate'!$P$65/27)+('Operating Cost Estimate'!$P$66/27)</f>
        <v>202738.14814814815</v>
      </c>
      <c r="K13" s="167">
        <f t="shared" si="2"/>
        <v>638126.1481481481</v>
      </c>
      <c r="L13" s="168">
        <f t="shared" si="0"/>
        <v>718216.6016321058</v>
      </c>
      <c r="M13" s="168">
        <f t="shared" si="1"/>
        <v>588587.2411152946</v>
      </c>
    </row>
    <row r="14" spans="1:13" ht="12">
      <c r="A14" s="165">
        <v>5</v>
      </c>
      <c r="C14" s="420"/>
      <c r="D14" s="166"/>
      <c r="E14" s="166"/>
      <c r="F14" s="166"/>
      <c r="G14" s="166">
        <f>'Capital Cost Estimate'!$AE$456/100</f>
        <v>19588.000000000004</v>
      </c>
      <c r="H14" s="166">
        <f>'Operating Cost Estimate'!$P$61/100</f>
        <v>415800</v>
      </c>
      <c r="I14" s="166"/>
      <c r="J14" s="166">
        <f>('Operating Cost Estimate'!$P$64/115)</f>
        <v>30800</v>
      </c>
      <c r="K14" s="167">
        <f t="shared" si="2"/>
        <v>466188</v>
      </c>
      <c r="L14" s="168">
        <f t="shared" si="0"/>
        <v>540439.6621497683</v>
      </c>
      <c r="M14" s="168">
        <f t="shared" si="1"/>
        <v>421397.0284185983</v>
      </c>
    </row>
    <row r="15" spans="1:13" ht="12">
      <c r="A15" s="165">
        <v>6</v>
      </c>
      <c r="B15" s="419"/>
      <c r="C15" s="166"/>
      <c r="D15" s="166"/>
      <c r="E15" s="166"/>
      <c r="F15" s="166"/>
      <c r="G15" s="166">
        <f>'Capital Cost Estimate'!$AE$456/100</f>
        <v>19588.000000000004</v>
      </c>
      <c r="H15" s="166">
        <f>'Operating Cost Estimate'!$P$61/100</f>
        <v>415800</v>
      </c>
      <c r="I15" s="166"/>
      <c r="J15" s="166">
        <f>('Operating Cost Estimate'!$P$64/115)</f>
        <v>30800</v>
      </c>
      <c r="K15" s="167">
        <f t="shared" si="2"/>
        <v>466188</v>
      </c>
      <c r="L15" s="168">
        <f t="shared" si="0"/>
        <v>556652.8520142614</v>
      </c>
      <c r="M15" s="168">
        <f t="shared" si="1"/>
        <v>412969.0878502263</v>
      </c>
    </row>
    <row r="16" spans="1:13" ht="12">
      <c r="A16" s="165">
        <v>7</v>
      </c>
      <c r="B16" s="419"/>
      <c r="C16" s="166"/>
      <c r="D16" s="166"/>
      <c r="E16" s="166"/>
      <c r="F16" s="166"/>
      <c r="G16" s="166">
        <f>'Capital Cost Estimate'!$AE$456/100</f>
        <v>19588.000000000004</v>
      </c>
      <c r="H16" s="166">
        <f>'Operating Cost Estimate'!$P$61/100</f>
        <v>415800</v>
      </c>
      <c r="I16" s="166"/>
      <c r="J16" s="166">
        <f>('Operating Cost Estimate'!$P$64/115)</f>
        <v>30800</v>
      </c>
      <c r="K16" s="167">
        <f t="shared" si="2"/>
        <v>466188</v>
      </c>
      <c r="L16" s="168">
        <f t="shared" si="0"/>
        <v>573352.4375746893</v>
      </c>
      <c r="M16" s="168">
        <f t="shared" si="1"/>
        <v>404709.70609322184</v>
      </c>
    </row>
    <row r="17" spans="1:13" ht="12">
      <c r="A17" s="165">
        <v>8</v>
      </c>
      <c r="B17" s="166"/>
      <c r="C17" s="166"/>
      <c r="D17" s="166"/>
      <c r="E17" s="166"/>
      <c r="F17" s="166"/>
      <c r="G17" s="166">
        <f>'Capital Cost Estimate'!$AE$456/100</f>
        <v>19588.000000000004</v>
      </c>
      <c r="H17" s="166">
        <f>'Operating Cost Estimate'!$P$61/100</f>
        <v>415800</v>
      </c>
      <c r="I17" s="166"/>
      <c r="J17" s="166">
        <f>('Operating Cost Estimate'!$P$64/115)</f>
        <v>30800</v>
      </c>
      <c r="K17" s="167">
        <f t="shared" si="2"/>
        <v>466188</v>
      </c>
      <c r="L17" s="168">
        <f t="shared" si="0"/>
        <v>590553.0107019299</v>
      </c>
      <c r="M17" s="168">
        <f t="shared" si="1"/>
        <v>396615.51197135734</v>
      </c>
    </row>
    <row r="18" spans="1:13" ht="12">
      <c r="A18" s="165">
        <v>9</v>
      </c>
      <c r="B18" s="166"/>
      <c r="C18" s="166"/>
      <c r="D18" s="166"/>
      <c r="E18" s="166"/>
      <c r="F18" s="166"/>
      <c r="G18" s="166">
        <f>'Capital Cost Estimate'!$AE$456/100</f>
        <v>19588.000000000004</v>
      </c>
      <c r="H18" s="166">
        <f>'Operating Cost Estimate'!$P$61/100+'Operating Cost Estimate'!P50+'Operating Cost Estimate'!P53</f>
        <v>3081050</v>
      </c>
      <c r="I18" s="166"/>
      <c r="J18" s="166">
        <f>('Operating Cost Estimate'!$P$64/115)+('Operating Cost Estimate'!$P$65/27)+('Operating Cost Estimate'!$P$66/27)</f>
        <v>202738.14814814815</v>
      </c>
      <c r="K18" s="167">
        <f t="shared" si="2"/>
        <v>3303376.1481481483</v>
      </c>
      <c r="L18" s="168">
        <f t="shared" si="0"/>
        <v>4310156.614204845</v>
      </c>
      <c r="M18" s="168">
        <f t="shared" si="1"/>
        <v>2754182.470992632</v>
      </c>
    </row>
    <row r="19" spans="1:13" ht="12">
      <c r="A19" s="165">
        <v>10</v>
      </c>
      <c r="B19" s="166"/>
      <c r="C19" s="166"/>
      <c r="D19" s="166"/>
      <c r="E19" s="166"/>
      <c r="F19" s="166"/>
      <c r="G19" s="166">
        <f>'Capital Cost Estimate'!$AE$456/100</f>
        <v>19588.000000000004</v>
      </c>
      <c r="H19" s="166">
        <f>'Operating Cost Estimate'!$P$61/100</f>
        <v>415800</v>
      </c>
      <c r="I19" s="166"/>
      <c r="J19" s="166">
        <f>('Operating Cost Estimate'!$P$64/115)</f>
        <v>30800</v>
      </c>
      <c r="K19" s="167">
        <f t="shared" si="2"/>
        <v>466188</v>
      </c>
      <c r="L19" s="168">
        <f t="shared" si="0"/>
        <v>626517.6890536775</v>
      </c>
      <c r="M19" s="168">
        <f t="shared" si="1"/>
        <v>380909.5376972916</v>
      </c>
    </row>
    <row r="20" spans="1:13" ht="12">
      <c r="A20" s="165">
        <v>11</v>
      </c>
      <c r="B20" s="166"/>
      <c r="C20" s="166"/>
      <c r="D20" s="166"/>
      <c r="E20" s="166"/>
      <c r="F20" s="166"/>
      <c r="G20" s="166">
        <f>'Capital Cost Estimate'!$AE$456/100</f>
        <v>19588.000000000004</v>
      </c>
      <c r="H20" s="166">
        <f>'Operating Cost Estimate'!$P$61/100</f>
        <v>415800</v>
      </c>
      <c r="I20" s="166"/>
      <c r="J20" s="166">
        <f>('Operating Cost Estimate'!$P$64/115)</f>
        <v>30800</v>
      </c>
      <c r="K20" s="167">
        <f t="shared" si="2"/>
        <v>466188</v>
      </c>
      <c r="L20" s="168">
        <f t="shared" si="0"/>
        <v>645313.2197252878</v>
      </c>
      <c r="M20" s="168">
        <f t="shared" si="1"/>
        <v>373291.34694334574</v>
      </c>
    </row>
    <row r="21" spans="1:13" ht="12">
      <c r="A21" s="165">
        <v>12</v>
      </c>
      <c r="B21" s="166"/>
      <c r="C21" s="166"/>
      <c r="D21" s="166"/>
      <c r="E21" s="166"/>
      <c r="F21" s="166"/>
      <c r="G21" s="166">
        <f>'Capital Cost Estimate'!$AE$456/100</f>
        <v>19588.000000000004</v>
      </c>
      <c r="H21" s="166">
        <f>'Operating Cost Estimate'!$P$61/100</f>
        <v>415800</v>
      </c>
      <c r="I21" s="166"/>
      <c r="J21" s="166">
        <f>('Operating Cost Estimate'!$P$64/115)</f>
        <v>30800</v>
      </c>
      <c r="K21" s="167">
        <f t="shared" si="2"/>
        <v>466188</v>
      </c>
      <c r="L21" s="168">
        <f t="shared" si="0"/>
        <v>664672.6163170463</v>
      </c>
      <c r="M21" s="168">
        <f t="shared" si="1"/>
        <v>365825.5200044788</v>
      </c>
    </row>
    <row r="22" spans="1:13" ht="12">
      <c r="A22" s="165">
        <v>13</v>
      </c>
      <c r="B22" s="166"/>
      <c r="C22" s="166"/>
      <c r="D22" s="166"/>
      <c r="E22" s="166"/>
      <c r="F22" s="166"/>
      <c r="G22" s="166">
        <f>'Capital Cost Estimate'!$AE$456/100</f>
        <v>19588.000000000004</v>
      </c>
      <c r="H22" s="166">
        <f>'Operating Cost Estimate'!$P$61/100</f>
        <v>415800</v>
      </c>
      <c r="I22" s="166"/>
      <c r="J22" s="166">
        <f>('Operating Cost Estimate'!$P$64/115)</f>
        <v>30800</v>
      </c>
      <c r="K22" s="167">
        <f t="shared" si="2"/>
        <v>466188</v>
      </c>
      <c r="L22" s="168">
        <f t="shared" si="0"/>
        <v>684612.7948065577</v>
      </c>
      <c r="M22" s="168">
        <f t="shared" si="1"/>
        <v>358509.0096043892</v>
      </c>
    </row>
    <row r="23" spans="1:13" ht="12">
      <c r="A23" s="165">
        <v>14</v>
      </c>
      <c r="B23" s="166"/>
      <c r="C23" s="166"/>
      <c r="D23" s="166"/>
      <c r="E23" s="166"/>
      <c r="F23" s="166"/>
      <c r="G23" s="166">
        <f>'Capital Cost Estimate'!$AE$456/100</f>
        <v>19588.000000000004</v>
      </c>
      <c r="H23" s="166">
        <f>'Operating Cost Estimate'!$P$61/100</f>
        <v>415800</v>
      </c>
      <c r="I23" s="166"/>
      <c r="J23" s="166">
        <f>('Operating Cost Estimate'!$P$64/115)+('Operating Cost Estimate'!$P$65/27)+('Operating Cost Estimate'!$P$66/27)</f>
        <v>202738.14814814815</v>
      </c>
      <c r="K23" s="167">
        <f t="shared" si="2"/>
        <v>638126.1481481481</v>
      </c>
      <c r="L23" s="168">
        <f t="shared" si="0"/>
        <v>965223.0548502591</v>
      </c>
      <c r="M23" s="168">
        <f t="shared" si="1"/>
        <v>480918.629196271</v>
      </c>
    </row>
    <row r="24" spans="1:13" ht="12">
      <c r="A24" s="165">
        <v>15</v>
      </c>
      <c r="B24" s="166"/>
      <c r="C24" s="166"/>
      <c r="D24" s="166"/>
      <c r="E24" s="166"/>
      <c r="F24" s="166"/>
      <c r="G24" s="166">
        <f>'Capital Cost Estimate'!$AE$456/100</f>
        <v>19588.000000000004</v>
      </c>
      <c r="H24" s="166">
        <f>'Operating Cost Estimate'!$P$61/100</f>
        <v>415800</v>
      </c>
      <c r="I24" s="166"/>
      <c r="J24" s="166">
        <f>('Operating Cost Estimate'!$P$64/115)</f>
        <v>30800</v>
      </c>
      <c r="K24" s="167">
        <f t="shared" si="2"/>
        <v>466188</v>
      </c>
      <c r="L24" s="168">
        <f t="shared" si="0"/>
        <v>726305.7140102772</v>
      </c>
      <c r="M24" s="168">
        <f t="shared" si="1"/>
        <v>344312.05282405537</v>
      </c>
    </row>
    <row r="25" spans="1:13" ht="12">
      <c r="A25" s="165">
        <v>16</v>
      </c>
      <c r="B25" s="166"/>
      <c r="C25" s="166"/>
      <c r="D25" s="166"/>
      <c r="E25" s="166"/>
      <c r="F25" s="166"/>
      <c r="G25" s="166">
        <f>'Capital Cost Estimate'!$AE$456/100</f>
        <v>19588.000000000004</v>
      </c>
      <c r="H25" s="166">
        <f>'Operating Cost Estimate'!$P$61/100</f>
        <v>415800</v>
      </c>
      <c r="I25" s="166"/>
      <c r="J25" s="166">
        <f>('Operating Cost Estimate'!$P$64/115)</f>
        <v>30800</v>
      </c>
      <c r="K25" s="167">
        <f t="shared" si="2"/>
        <v>466188</v>
      </c>
      <c r="L25" s="168">
        <f t="shared" si="0"/>
        <v>748094.8854305854</v>
      </c>
      <c r="M25" s="168">
        <f t="shared" si="1"/>
        <v>337425.8117675743</v>
      </c>
    </row>
    <row r="26" spans="1:13" ht="12">
      <c r="A26" s="165">
        <v>17</v>
      </c>
      <c r="B26" s="166"/>
      <c r="C26" s="166"/>
      <c r="D26" s="166"/>
      <c r="E26" s="166"/>
      <c r="F26" s="166"/>
      <c r="G26" s="166">
        <f>'Capital Cost Estimate'!$AE$456/100</f>
        <v>19588.000000000004</v>
      </c>
      <c r="H26" s="166">
        <f>'Operating Cost Estimate'!$P$61/100</f>
        <v>415800</v>
      </c>
      <c r="I26" s="166"/>
      <c r="J26" s="166">
        <f>('Operating Cost Estimate'!$P$64/115)</f>
        <v>30800</v>
      </c>
      <c r="K26" s="167">
        <f t="shared" si="2"/>
        <v>466188</v>
      </c>
      <c r="L26" s="168">
        <f t="shared" si="0"/>
        <v>770537.7319935029</v>
      </c>
      <c r="M26" s="168">
        <f t="shared" si="1"/>
        <v>330677.2955322228</v>
      </c>
    </row>
    <row r="27" spans="1:13" ht="12">
      <c r="A27" s="165">
        <v>18</v>
      </c>
      <c r="B27" s="166"/>
      <c r="C27" s="166"/>
      <c r="D27" s="166"/>
      <c r="E27" s="166"/>
      <c r="F27" s="166"/>
      <c r="G27" s="166">
        <f>'Capital Cost Estimate'!$AE$456/100</f>
        <v>19588.000000000004</v>
      </c>
      <c r="H27" s="166">
        <f>'Operating Cost Estimate'!$P$61/100</f>
        <v>415800</v>
      </c>
      <c r="I27" s="166"/>
      <c r="J27" s="166">
        <f>('Operating Cost Estimate'!$P$64/115)</f>
        <v>30800</v>
      </c>
      <c r="K27" s="167">
        <f t="shared" si="2"/>
        <v>466188</v>
      </c>
      <c r="L27" s="168">
        <f t="shared" si="0"/>
        <v>793653.863953308</v>
      </c>
      <c r="M27" s="168">
        <f t="shared" si="1"/>
        <v>324063.7496215783</v>
      </c>
    </row>
    <row r="28" spans="1:13" ht="12">
      <c r="A28" s="165">
        <v>19</v>
      </c>
      <c r="B28" s="166"/>
      <c r="C28" s="166"/>
      <c r="D28" s="166"/>
      <c r="E28" s="166"/>
      <c r="F28" s="166"/>
      <c r="G28" s="166">
        <f>'Capital Cost Estimate'!$AE$456/100</f>
        <v>19588.000000000004</v>
      </c>
      <c r="H28" s="166">
        <f>'Operating Cost Estimate'!$P$61/100+'Operating Cost Estimate'!P51</f>
        <v>1081050</v>
      </c>
      <c r="I28" s="166"/>
      <c r="J28" s="166">
        <f>('Operating Cost Estimate'!$P$64/115)+('Operating Cost Estimate'!$P$65/27)+('Operating Cost Estimate'!$P$66/27)</f>
        <v>202738.14814814815</v>
      </c>
      <c r="K28" s="167">
        <f t="shared" si="2"/>
        <v>1303376.148148148</v>
      </c>
      <c r="L28" s="168">
        <f t="shared" si="0"/>
        <v>2285477.965214093</v>
      </c>
      <c r="M28" s="168">
        <f t="shared" si="1"/>
        <v>887902.3537746451</v>
      </c>
    </row>
    <row r="29" spans="1:13" ht="12">
      <c r="A29" s="165">
        <v>20</v>
      </c>
      <c r="B29" s="166"/>
      <c r="C29" s="166"/>
      <c r="D29" s="166"/>
      <c r="E29" s="166"/>
      <c r="F29" s="166"/>
      <c r="G29" s="166">
        <f>'Capital Cost Estimate'!$AE$456/100</f>
        <v>19588.000000000004</v>
      </c>
      <c r="H29" s="166">
        <f>'Operating Cost Estimate'!$P$61/100</f>
        <v>415800</v>
      </c>
      <c r="I29" s="166"/>
      <c r="J29" s="166">
        <f>('Operating Cost Estimate'!$P$64/115)</f>
        <v>30800</v>
      </c>
      <c r="K29" s="167">
        <f t="shared" si="2"/>
        <v>466188</v>
      </c>
      <c r="L29" s="168">
        <f t="shared" si="0"/>
        <v>841987.3842680644</v>
      </c>
      <c r="M29" s="168">
        <f t="shared" si="1"/>
        <v>311230.8251365638</v>
      </c>
    </row>
    <row r="30" spans="1:13" ht="12">
      <c r="A30" s="165">
        <v>21</v>
      </c>
      <c r="B30" s="166"/>
      <c r="C30" s="166"/>
      <c r="D30" s="166"/>
      <c r="E30" s="166"/>
      <c r="F30" s="166"/>
      <c r="G30" s="166">
        <f>'Capital Cost Estimate'!$AE$456/100</f>
        <v>19588.000000000004</v>
      </c>
      <c r="H30" s="166">
        <f>'Operating Cost Estimate'!$P$61/100</f>
        <v>415800</v>
      </c>
      <c r="I30" s="166"/>
      <c r="J30" s="166">
        <f>('Operating Cost Estimate'!$P$64/115)</f>
        <v>30800</v>
      </c>
      <c r="K30" s="167">
        <f t="shared" si="2"/>
        <v>466188</v>
      </c>
      <c r="L30" s="168">
        <f t="shared" si="0"/>
        <v>867247.0057961063</v>
      </c>
      <c r="M30" s="168">
        <f t="shared" si="1"/>
        <v>305006.2086338325</v>
      </c>
    </row>
    <row r="31" spans="1:13" ht="12">
      <c r="A31" s="165">
        <v>22</v>
      </c>
      <c r="B31" s="166"/>
      <c r="C31" s="166"/>
      <c r="D31" s="166"/>
      <c r="E31" s="166"/>
      <c r="F31" s="166"/>
      <c r="G31" s="166">
        <f>'Capital Cost Estimate'!$AE$456/100</f>
        <v>19588.000000000004</v>
      </c>
      <c r="H31" s="166">
        <f>'Operating Cost Estimate'!$P$61/100</f>
        <v>415800</v>
      </c>
      <c r="I31" s="166"/>
      <c r="J31" s="166">
        <f>('Operating Cost Estimate'!$P$64/115)</f>
        <v>30800</v>
      </c>
      <c r="K31" s="167">
        <f t="shared" si="2"/>
        <v>466188</v>
      </c>
      <c r="L31" s="168">
        <f t="shared" si="0"/>
        <v>893264.4159699895</v>
      </c>
      <c r="M31" s="168">
        <f t="shared" si="1"/>
        <v>298906.0844611559</v>
      </c>
    </row>
    <row r="32" spans="1:13" ht="12">
      <c r="A32" s="165">
        <v>23</v>
      </c>
      <c r="B32" s="166"/>
      <c r="C32" s="166"/>
      <c r="D32" s="166"/>
      <c r="E32" s="166"/>
      <c r="F32" s="166"/>
      <c r="G32" s="166">
        <f>'Capital Cost Estimate'!$AE$456/100</f>
        <v>19588.000000000004</v>
      </c>
      <c r="H32" s="166">
        <f>'Operating Cost Estimate'!$P$61/100</f>
        <v>415800</v>
      </c>
      <c r="I32" s="166"/>
      <c r="J32" s="166">
        <f>('Operating Cost Estimate'!$P$64/115)</f>
        <v>30800</v>
      </c>
      <c r="K32" s="167">
        <f t="shared" si="2"/>
        <v>466188</v>
      </c>
      <c r="L32" s="168">
        <f t="shared" si="0"/>
        <v>920062.3484490892</v>
      </c>
      <c r="M32" s="168">
        <f t="shared" si="1"/>
        <v>292927.9627719327</v>
      </c>
    </row>
    <row r="33" spans="1:13" ht="12">
      <c r="A33" s="165">
        <v>24</v>
      </c>
      <c r="B33" s="166"/>
      <c r="C33" s="166"/>
      <c r="D33" s="166"/>
      <c r="E33" s="166"/>
      <c r="F33" s="166"/>
      <c r="G33" s="166">
        <f>'Capital Cost Estimate'!$AE$456/100</f>
        <v>19588.000000000004</v>
      </c>
      <c r="H33" s="166">
        <f>'Operating Cost Estimate'!$P$61/100</f>
        <v>415800</v>
      </c>
      <c r="I33" s="166"/>
      <c r="J33" s="166">
        <f>('Operating Cost Estimate'!$P$64/115)+('Operating Cost Estimate'!$P$65/27)+('Operating Cost Estimate'!$P$66/27)</f>
        <v>202738.14814814815</v>
      </c>
      <c r="K33" s="167">
        <f t="shared" si="2"/>
        <v>638126.1481481481</v>
      </c>
      <c r="L33" s="168">
        <f t="shared" si="0"/>
        <v>1297179.0731338328</v>
      </c>
      <c r="M33" s="168">
        <f t="shared" si="1"/>
        <v>392945.5342419084</v>
      </c>
    </row>
    <row r="34" spans="1:13" ht="12">
      <c r="A34" s="165">
        <v>25</v>
      </c>
      <c r="B34" s="166"/>
      <c r="C34" s="166"/>
      <c r="D34" s="166"/>
      <c r="E34" s="166"/>
      <c r="F34" s="166"/>
      <c r="G34" s="166">
        <f>'Capital Cost Estimate'!$AE$456/100</f>
        <v>19588.000000000004</v>
      </c>
      <c r="H34" s="166">
        <f>'Operating Cost Estimate'!$P$61/100</f>
        <v>415800</v>
      </c>
      <c r="I34" s="166"/>
      <c r="J34" s="166">
        <f>('Operating Cost Estimate'!$P$64/115)</f>
        <v>30800</v>
      </c>
      <c r="K34" s="167">
        <f t="shared" si="2"/>
        <v>466188</v>
      </c>
      <c r="L34" s="168">
        <f t="shared" si="0"/>
        <v>976094.1454696386</v>
      </c>
      <c r="M34" s="168">
        <f t="shared" si="1"/>
        <v>281328.0154461642</v>
      </c>
    </row>
    <row r="35" spans="1:13" ht="12">
      <c r="A35" s="165">
        <v>26</v>
      </c>
      <c r="B35" s="166"/>
      <c r="C35" s="166"/>
      <c r="D35" s="166"/>
      <c r="E35" s="166"/>
      <c r="F35" s="166"/>
      <c r="G35" s="166">
        <f>'Capital Cost Estimate'!$AE$456/100</f>
        <v>19588.000000000004</v>
      </c>
      <c r="H35" s="166">
        <f>'Operating Cost Estimate'!$P$61/100</f>
        <v>415800</v>
      </c>
      <c r="I35" s="166"/>
      <c r="J35" s="166">
        <f>('Operating Cost Estimate'!$P$64/115)</f>
        <v>30800</v>
      </c>
      <c r="K35" s="167">
        <f t="shared" si="2"/>
        <v>466188</v>
      </c>
      <c r="L35" s="168">
        <f t="shared" si="0"/>
        <v>1005376.9698337279</v>
      </c>
      <c r="M35" s="168">
        <f t="shared" si="1"/>
        <v>275701.4551372409</v>
      </c>
    </row>
    <row r="36" spans="1:13" ht="12">
      <c r="A36" s="165">
        <v>27</v>
      </c>
      <c r="B36" s="166"/>
      <c r="C36" s="166"/>
      <c r="D36" s="166"/>
      <c r="E36" s="166"/>
      <c r="F36" s="166"/>
      <c r="G36" s="166">
        <f>'Capital Cost Estimate'!$AE$456/100</f>
        <v>19588.000000000004</v>
      </c>
      <c r="H36" s="166">
        <f>'Operating Cost Estimate'!$P$61/100</f>
        <v>415800</v>
      </c>
      <c r="I36" s="166"/>
      <c r="J36" s="166">
        <f>('Operating Cost Estimate'!$P$64/115)</f>
        <v>30800</v>
      </c>
      <c r="K36" s="167">
        <f t="shared" si="2"/>
        <v>466188</v>
      </c>
      <c r="L36" s="168">
        <f t="shared" si="0"/>
        <v>1035538.2789287397</v>
      </c>
      <c r="M36" s="168">
        <f t="shared" si="1"/>
        <v>270187.42603449605</v>
      </c>
    </row>
    <row r="37" spans="1:13" ht="12">
      <c r="A37" s="165">
        <v>28</v>
      </c>
      <c r="B37" s="166"/>
      <c r="C37" s="166"/>
      <c r="D37" s="166"/>
      <c r="E37" s="166"/>
      <c r="F37" s="166"/>
      <c r="G37" s="166">
        <f>'Capital Cost Estimate'!$AE$456/100</f>
        <v>19588.000000000004</v>
      </c>
      <c r="H37" s="166">
        <f>'Operating Cost Estimate'!$P$61/100</f>
        <v>415800</v>
      </c>
      <c r="I37" s="166"/>
      <c r="J37" s="166">
        <f>('Operating Cost Estimate'!$P$64/115)</f>
        <v>30800</v>
      </c>
      <c r="K37" s="167">
        <f t="shared" si="2"/>
        <v>466188</v>
      </c>
      <c r="L37" s="168">
        <f t="shared" si="0"/>
        <v>1066604.427296602</v>
      </c>
      <c r="M37" s="168">
        <f t="shared" si="1"/>
        <v>264783.6775138061</v>
      </c>
    </row>
    <row r="38" spans="1:13" ht="12">
      <c r="A38" s="165">
        <v>29</v>
      </c>
      <c r="B38" s="166"/>
      <c r="C38" s="166"/>
      <c r="D38" s="166"/>
      <c r="E38" s="166"/>
      <c r="F38" s="166"/>
      <c r="G38" s="166">
        <f>'Capital Cost Estimate'!$AE$456/100</f>
        <v>19588.000000000004</v>
      </c>
      <c r="H38" s="166">
        <f>'Operating Cost Estimate'!$P$61/100</f>
        <v>415800</v>
      </c>
      <c r="I38" s="166"/>
      <c r="J38" s="166">
        <f>('Operating Cost Estimate'!$P$64/115)+('Operating Cost Estimate'!$P$65/27)+('Operating Cost Estimate'!$P$66/27)</f>
        <v>202738.14814814815</v>
      </c>
      <c r="K38" s="167">
        <f t="shared" si="2"/>
        <v>638126.1481481481</v>
      </c>
      <c r="L38" s="168">
        <f t="shared" si="0"/>
        <v>1503786.0692085559</v>
      </c>
      <c r="M38" s="168">
        <f t="shared" si="1"/>
        <v>355191.6404109475</v>
      </c>
    </row>
    <row r="39" spans="1:13" ht="12">
      <c r="A39" s="165">
        <v>30</v>
      </c>
      <c r="B39" s="166"/>
      <c r="C39" s="166"/>
      <c r="D39" s="166"/>
      <c r="E39" s="166"/>
      <c r="F39" s="166"/>
      <c r="G39" s="166">
        <f>'Capital Cost Estimate'!$AE$456/100</f>
        <v>19588.000000000004</v>
      </c>
      <c r="H39" s="166">
        <f>'Operating Cost Estimate'!$P$61/100</f>
        <v>415800</v>
      </c>
      <c r="I39" s="166"/>
      <c r="J39" s="166">
        <f>('Operating Cost Estimate'!$P$64/115)</f>
        <v>30800</v>
      </c>
      <c r="K39" s="167">
        <f t="shared" si="2"/>
        <v>466188</v>
      </c>
      <c r="L39" s="168">
        <f t="shared" si="0"/>
        <v>1131560.6369189648</v>
      </c>
      <c r="M39" s="168">
        <f t="shared" si="1"/>
        <v>254298.2438842594</v>
      </c>
    </row>
    <row r="40" spans="1:13" ht="12">
      <c r="A40" s="165">
        <v>31</v>
      </c>
      <c r="B40" s="166"/>
      <c r="C40" s="166"/>
      <c r="D40" s="166"/>
      <c r="E40" s="166"/>
      <c r="F40" s="166"/>
      <c r="G40" s="166">
        <f>'Capital Cost Estimate'!$AE$456/100</f>
        <v>19588.000000000004</v>
      </c>
      <c r="H40" s="166">
        <f>'Operating Cost Estimate'!$P$61/100</f>
        <v>415800</v>
      </c>
      <c r="I40" s="166"/>
      <c r="J40" s="166">
        <f>('Operating Cost Estimate'!$P$64/115)</f>
        <v>30800</v>
      </c>
      <c r="K40" s="167">
        <f t="shared" si="2"/>
        <v>466188</v>
      </c>
      <c r="L40" s="168">
        <f t="shared" si="0"/>
        <v>1165507.4560265339</v>
      </c>
      <c r="M40" s="168">
        <f t="shared" si="1"/>
        <v>249212.2790065742</v>
      </c>
    </row>
    <row r="41" spans="1:13" ht="12">
      <c r="A41" s="165">
        <v>32</v>
      </c>
      <c r="B41" s="166"/>
      <c r="C41" s="166"/>
      <c r="D41" s="166"/>
      <c r="E41" s="166"/>
      <c r="F41" s="166"/>
      <c r="G41" s="166">
        <f>'Capital Cost Estimate'!$AE$456/100</f>
        <v>19588.000000000004</v>
      </c>
      <c r="H41" s="166">
        <f>'Operating Cost Estimate'!$P$61/100</f>
        <v>415800</v>
      </c>
      <c r="I41" s="166"/>
      <c r="J41" s="166">
        <f>('Operating Cost Estimate'!$P$64/115)</f>
        <v>30800</v>
      </c>
      <c r="K41" s="167">
        <f t="shared" si="2"/>
        <v>466188</v>
      </c>
      <c r="L41" s="168">
        <f t="shared" si="0"/>
        <v>1200472.6797073297</v>
      </c>
      <c r="M41" s="168">
        <f t="shared" si="1"/>
        <v>244228.0334264427</v>
      </c>
    </row>
    <row r="42" spans="1:13" ht="12">
      <c r="A42" s="165">
        <v>33</v>
      </c>
      <c r="B42" s="166"/>
      <c r="C42" s="166"/>
      <c r="D42" s="166"/>
      <c r="E42" s="166"/>
      <c r="F42" s="166"/>
      <c r="G42" s="166">
        <f>'Capital Cost Estimate'!$AE$456/100</f>
        <v>19588.000000000004</v>
      </c>
      <c r="H42" s="166">
        <f>'Operating Cost Estimate'!$P$61/100</f>
        <v>415800</v>
      </c>
      <c r="I42" s="166"/>
      <c r="J42" s="166">
        <f>('Operating Cost Estimate'!$P$64/115)</f>
        <v>30800</v>
      </c>
      <c r="K42" s="167">
        <f t="shared" si="2"/>
        <v>466188</v>
      </c>
      <c r="L42" s="168">
        <f t="shared" si="0"/>
        <v>1236486.8600985496</v>
      </c>
      <c r="M42" s="168">
        <f t="shared" si="1"/>
        <v>239343.47275791384</v>
      </c>
    </row>
    <row r="43" spans="1:13" ht="12">
      <c r="A43" s="165">
        <v>34</v>
      </c>
      <c r="B43" s="166"/>
      <c r="C43" s="166"/>
      <c r="D43" s="166"/>
      <c r="E43" s="166"/>
      <c r="F43" s="166"/>
      <c r="G43" s="166">
        <f>'Capital Cost Estimate'!$AE$456/100</f>
        <v>19588.000000000004</v>
      </c>
      <c r="H43" s="166">
        <f>'Operating Cost Estimate'!$P$61/100</f>
        <v>415800</v>
      </c>
      <c r="I43" s="166"/>
      <c r="J43" s="166">
        <f>('Operating Cost Estimate'!$P$64/115)+('Operating Cost Estimate'!$P$65/27)+('Operating Cost Estimate'!$P$66/27)</f>
        <v>202738.14814814815</v>
      </c>
      <c r="K43" s="167">
        <f t="shared" si="2"/>
        <v>638126.1481481481</v>
      </c>
      <c r="L43" s="168">
        <f t="shared" si="0"/>
        <v>1743300.2033269838</v>
      </c>
      <c r="M43" s="168">
        <f t="shared" si="1"/>
        <v>321065.1106169627</v>
      </c>
    </row>
    <row r="44" spans="1:13" ht="12">
      <c r="A44" s="165">
        <v>35</v>
      </c>
      <c r="B44" s="166"/>
      <c r="C44" s="166"/>
      <c r="D44" s="166"/>
      <c r="E44" s="166"/>
      <c r="F44" s="166"/>
      <c r="G44" s="166">
        <f>'Capital Cost Estimate'!$AE$456/100</f>
        <v>19588.000000000004</v>
      </c>
      <c r="H44" s="166">
        <f>'Operating Cost Estimate'!$P$61/100</f>
        <v>415800</v>
      </c>
      <c r="I44" s="166"/>
      <c r="J44" s="166">
        <f>('Operating Cost Estimate'!$P$64/115)</f>
        <v>30800</v>
      </c>
      <c r="K44" s="167">
        <f t="shared" si="2"/>
        <v>466188</v>
      </c>
      <c r="L44" s="168">
        <f t="shared" si="0"/>
        <v>1311788.9098785513</v>
      </c>
      <c r="M44" s="168">
        <f t="shared" si="1"/>
        <v>229865.47123670045</v>
      </c>
    </row>
    <row r="45" spans="1:13" ht="12">
      <c r="A45" s="165">
        <v>36</v>
      </c>
      <c r="B45" s="166"/>
      <c r="C45" s="166"/>
      <c r="D45" s="166"/>
      <c r="E45" s="166"/>
      <c r="F45" s="166"/>
      <c r="G45" s="166">
        <f>'Capital Cost Estimate'!$AE$456/100</f>
        <v>19588.000000000004</v>
      </c>
      <c r="H45" s="166">
        <f>'Operating Cost Estimate'!$P$61/100</f>
        <v>415800</v>
      </c>
      <c r="I45" s="166"/>
      <c r="J45" s="166">
        <f>('Operating Cost Estimate'!$P$64/115)</f>
        <v>30800</v>
      </c>
      <c r="K45" s="167">
        <f t="shared" si="2"/>
        <v>466188</v>
      </c>
      <c r="L45" s="168">
        <f t="shared" si="0"/>
        <v>1351142.5771749078</v>
      </c>
      <c r="M45" s="168">
        <f t="shared" si="1"/>
        <v>225268.1618119664</v>
      </c>
    </row>
    <row r="46" spans="1:13" ht="12">
      <c r="A46" s="165">
        <v>37</v>
      </c>
      <c r="B46" s="166"/>
      <c r="C46" s="166"/>
      <c r="D46" s="166"/>
      <c r="E46" s="166"/>
      <c r="F46" s="166"/>
      <c r="G46" s="166">
        <f>'Capital Cost Estimate'!$AE$456/100</f>
        <v>19588.000000000004</v>
      </c>
      <c r="H46" s="166">
        <f>'Operating Cost Estimate'!$P$61/100</f>
        <v>415800</v>
      </c>
      <c r="I46" s="166"/>
      <c r="J46" s="166">
        <f>('Operating Cost Estimate'!$P$64/115)</f>
        <v>30800</v>
      </c>
      <c r="K46" s="167">
        <f t="shared" si="2"/>
        <v>466188</v>
      </c>
      <c r="L46" s="168">
        <f t="shared" si="0"/>
        <v>1391676.854490155</v>
      </c>
      <c r="M46" s="168">
        <f t="shared" si="1"/>
        <v>220762.79857572707</v>
      </c>
    </row>
    <row r="47" spans="1:13" ht="12">
      <c r="A47" s="165">
        <v>38</v>
      </c>
      <c r="B47" s="166"/>
      <c r="C47" s="166"/>
      <c r="D47" s="166"/>
      <c r="E47" s="166"/>
      <c r="F47" s="166"/>
      <c r="G47" s="166">
        <f>'Capital Cost Estimate'!$AE$456/100</f>
        <v>19588.000000000004</v>
      </c>
      <c r="H47" s="166">
        <f>'Operating Cost Estimate'!$P$61/100</f>
        <v>415800</v>
      </c>
      <c r="I47" s="166"/>
      <c r="J47" s="166">
        <f>('Operating Cost Estimate'!$P$64/115)</f>
        <v>30800</v>
      </c>
      <c r="K47" s="167">
        <f t="shared" si="2"/>
        <v>466188</v>
      </c>
      <c r="L47" s="168">
        <f t="shared" si="0"/>
        <v>1433427.1601248595</v>
      </c>
      <c r="M47" s="168">
        <f t="shared" si="1"/>
        <v>216347.54260421253</v>
      </c>
    </row>
    <row r="48" spans="1:13" ht="12">
      <c r="A48" s="165">
        <v>39</v>
      </c>
      <c r="B48" s="166"/>
      <c r="C48" s="166"/>
      <c r="D48" s="166"/>
      <c r="E48" s="166"/>
      <c r="F48" s="166"/>
      <c r="G48" s="166">
        <f>'Capital Cost Estimate'!$AE$456/100</f>
        <v>19588.000000000004</v>
      </c>
      <c r="H48" s="166">
        <f>'Operating Cost Estimate'!$P$61/100+('Operating Cost Estimate'!P52)</f>
        <v>1746300</v>
      </c>
      <c r="I48" s="166"/>
      <c r="J48" s="166">
        <f>('Operating Cost Estimate'!$P$64/115)+('Operating Cost Estimate'!$P$65/27)+('Operating Cost Estimate'!$P$66/27)</f>
        <v>202738.14814814815</v>
      </c>
      <c r="K48" s="167">
        <f t="shared" si="2"/>
        <v>1968626.148148148</v>
      </c>
      <c r="L48" s="168">
        <f t="shared" si="0"/>
        <v>6234692.129686237</v>
      </c>
      <c r="M48" s="168">
        <f t="shared" si="1"/>
        <v>895323.9484265646</v>
      </c>
    </row>
    <row r="49" spans="1:13" ht="12">
      <c r="A49" s="165">
        <v>40</v>
      </c>
      <c r="B49" s="166"/>
      <c r="C49" s="166"/>
      <c r="D49" s="166"/>
      <c r="E49" s="166"/>
      <c r="F49" s="166"/>
      <c r="G49" s="166">
        <f>'Capital Cost Estimate'!$AE$456/100</f>
        <v>19588.000000000004</v>
      </c>
      <c r="H49" s="166">
        <f>'Operating Cost Estimate'!$P$61/100</f>
        <v>415800</v>
      </c>
      <c r="I49" s="166"/>
      <c r="J49" s="166">
        <f>('Operating Cost Estimate'!$P$64/115)</f>
        <v>30800</v>
      </c>
      <c r="K49" s="167">
        <f t="shared" si="2"/>
        <v>466188</v>
      </c>
      <c r="L49" s="168">
        <f t="shared" si="0"/>
        <v>1520722.8741764633</v>
      </c>
      <c r="M49" s="168">
        <f t="shared" si="1"/>
        <v>207780.17991708568</v>
      </c>
    </row>
    <row r="50" spans="1:13" ht="12">
      <c r="A50" s="165">
        <v>41</v>
      </c>
      <c r="B50" s="166"/>
      <c r="C50" s="166"/>
      <c r="D50" s="166"/>
      <c r="E50" s="166"/>
      <c r="F50" s="166"/>
      <c r="G50" s="166">
        <f>'Capital Cost Estimate'!$AE$456/100</f>
        <v>19588.000000000004</v>
      </c>
      <c r="H50" s="166">
        <f>'Operating Cost Estimate'!$P$61/100</f>
        <v>415800</v>
      </c>
      <c r="I50" s="166"/>
      <c r="J50" s="166">
        <f>('Operating Cost Estimate'!$P$64/115)</f>
        <v>30800</v>
      </c>
      <c r="K50" s="167">
        <f t="shared" si="2"/>
        <v>466188</v>
      </c>
      <c r="L50" s="168">
        <f t="shared" si="0"/>
        <v>1566344.5604017575</v>
      </c>
      <c r="M50" s="168">
        <f t="shared" si="1"/>
        <v>203624.576318744</v>
      </c>
    </row>
    <row r="51" spans="1:13" ht="12">
      <c r="A51" s="165">
        <v>42</v>
      </c>
      <c r="B51" s="166"/>
      <c r="C51" s="166"/>
      <c r="D51" s="166"/>
      <c r="E51" s="166"/>
      <c r="F51" s="166"/>
      <c r="G51" s="166">
        <f>'Capital Cost Estimate'!$AE$456/100</f>
        <v>19588.000000000004</v>
      </c>
      <c r="H51" s="166">
        <f>'Operating Cost Estimate'!$P$61/100</f>
        <v>415800</v>
      </c>
      <c r="I51" s="166"/>
      <c r="J51" s="166">
        <f>('Operating Cost Estimate'!$P$64/115)</f>
        <v>30800</v>
      </c>
      <c r="K51" s="167">
        <f t="shared" si="2"/>
        <v>466188</v>
      </c>
      <c r="L51" s="168">
        <f t="shared" si="0"/>
        <v>1613334.8972138101</v>
      </c>
      <c r="M51" s="168">
        <f t="shared" si="1"/>
        <v>199552.0847923691</v>
      </c>
    </row>
    <row r="52" spans="1:13" ht="12">
      <c r="A52" s="165">
        <v>43</v>
      </c>
      <c r="B52" s="166"/>
      <c r="C52" s="166"/>
      <c r="D52" s="166"/>
      <c r="E52" s="166"/>
      <c r="F52" s="166"/>
      <c r="G52" s="166">
        <f>'Capital Cost Estimate'!$AE$456/100</f>
        <v>19588.000000000004</v>
      </c>
      <c r="H52" s="166">
        <f>'Operating Cost Estimate'!$P$61/100</f>
        <v>415800</v>
      </c>
      <c r="I52" s="166"/>
      <c r="J52" s="166">
        <f>('Operating Cost Estimate'!$P$64/115)</f>
        <v>30800</v>
      </c>
      <c r="K52" s="167">
        <f t="shared" si="2"/>
        <v>466188</v>
      </c>
      <c r="L52" s="168">
        <f t="shared" si="0"/>
        <v>1661734.9441302244</v>
      </c>
      <c r="M52" s="168">
        <f t="shared" si="1"/>
        <v>195561.0430965217</v>
      </c>
    </row>
    <row r="53" spans="1:13" ht="12">
      <c r="A53" s="165">
        <v>44</v>
      </c>
      <c r="B53" s="166"/>
      <c r="C53" s="166"/>
      <c r="D53" s="166"/>
      <c r="E53" s="166"/>
      <c r="F53" s="166"/>
      <c r="G53" s="166">
        <f>'Capital Cost Estimate'!$AE$456/100</f>
        <v>19588.000000000004</v>
      </c>
      <c r="H53" s="166">
        <f>'Operating Cost Estimate'!$P$61/100</f>
        <v>415800</v>
      </c>
      <c r="I53" s="166"/>
      <c r="J53" s="166">
        <f>('Operating Cost Estimate'!$P$64/115)+('Operating Cost Estimate'!$P$65/27)+('Operating Cost Estimate'!$P$66/27)</f>
        <v>202738.14814814815</v>
      </c>
      <c r="K53" s="167">
        <f t="shared" si="2"/>
        <v>638126.1481481481</v>
      </c>
      <c r="L53" s="168">
        <f t="shared" si="0"/>
        <v>2342849.6973650716</v>
      </c>
      <c r="M53" s="168">
        <f t="shared" si="1"/>
        <v>262333.5711254623</v>
      </c>
    </row>
    <row r="54" spans="1:13" ht="12">
      <c r="A54" s="165">
        <v>45</v>
      </c>
      <c r="B54" s="166"/>
      <c r="C54" s="166"/>
      <c r="D54" s="166"/>
      <c r="E54" s="166"/>
      <c r="F54" s="166"/>
      <c r="G54" s="166">
        <f>'Capital Cost Estimate'!$AE$456/100</f>
        <v>19588.000000000004</v>
      </c>
      <c r="H54" s="166">
        <f>'Operating Cost Estimate'!$P$61/100</f>
        <v>415800</v>
      </c>
      <c r="I54" s="166"/>
      <c r="J54" s="166">
        <f>('Operating Cost Estimate'!$P$64/115)</f>
        <v>30800</v>
      </c>
      <c r="K54" s="167">
        <f t="shared" si="2"/>
        <v>466188</v>
      </c>
      <c r="L54" s="168">
        <f t="shared" si="0"/>
        <v>1762934.602227755</v>
      </c>
      <c r="M54" s="168">
        <f t="shared" si="1"/>
        <v>187816.82578989942</v>
      </c>
    </row>
    <row r="55" spans="1:13" ht="12">
      <c r="A55" s="165">
        <v>46</v>
      </c>
      <c r="B55" s="166"/>
      <c r="C55" s="166"/>
      <c r="D55" s="166"/>
      <c r="E55" s="166"/>
      <c r="F55" s="166"/>
      <c r="G55" s="166">
        <f>'Capital Cost Estimate'!$AE$456/100</f>
        <v>19588.000000000004</v>
      </c>
      <c r="H55" s="166">
        <f>'Operating Cost Estimate'!$P$61/100</f>
        <v>415800</v>
      </c>
      <c r="I55" s="166"/>
      <c r="J55" s="166">
        <f>('Operating Cost Estimate'!$P$64/115)</f>
        <v>30800</v>
      </c>
      <c r="K55" s="167">
        <f t="shared" si="2"/>
        <v>466188</v>
      </c>
      <c r="L55" s="168">
        <f t="shared" si="0"/>
        <v>1815822.6402945875</v>
      </c>
      <c r="M55" s="168">
        <f t="shared" si="1"/>
        <v>184060.48927410145</v>
      </c>
    </row>
    <row r="56" spans="1:13" ht="12">
      <c r="A56" s="165">
        <v>47</v>
      </c>
      <c r="B56" s="166"/>
      <c r="C56" s="166"/>
      <c r="D56" s="166"/>
      <c r="E56" s="166"/>
      <c r="F56" s="166"/>
      <c r="G56" s="166">
        <f>'Capital Cost Estimate'!$AE$456/100</f>
        <v>19588.000000000004</v>
      </c>
      <c r="H56" s="166">
        <f>'Operating Cost Estimate'!$P$61/100</f>
        <v>415800</v>
      </c>
      <c r="I56" s="166"/>
      <c r="J56" s="166">
        <f>('Operating Cost Estimate'!$P$64/115)</f>
        <v>30800</v>
      </c>
      <c r="K56" s="167">
        <f t="shared" si="2"/>
        <v>466188</v>
      </c>
      <c r="L56" s="168">
        <f t="shared" si="0"/>
        <v>1870297.3195034254</v>
      </c>
      <c r="M56" s="168">
        <f t="shared" si="1"/>
        <v>180379.2794886194</v>
      </c>
    </row>
    <row r="57" spans="1:13" ht="12">
      <c r="A57" s="165">
        <v>48</v>
      </c>
      <c r="B57" s="166"/>
      <c r="C57" s="166"/>
      <c r="D57" s="166"/>
      <c r="E57" s="166"/>
      <c r="F57" s="166"/>
      <c r="G57" s="166">
        <f>'Capital Cost Estimate'!$AE$456/100</f>
        <v>19588.000000000004</v>
      </c>
      <c r="H57" s="166">
        <f>'Operating Cost Estimate'!$P$61/100</f>
        <v>415800</v>
      </c>
      <c r="I57" s="166"/>
      <c r="J57" s="166">
        <f>('Operating Cost Estimate'!$P$64/115)</f>
        <v>30800</v>
      </c>
      <c r="K57" s="167">
        <f t="shared" si="2"/>
        <v>466188</v>
      </c>
      <c r="L57" s="168">
        <f t="shared" si="0"/>
        <v>1926406.239088528</v>
      </c>
      <c r="M57" s="168">
        <f t="shared" si="1"/>
        <v>176771.693898847</v>
      </c>
    </row>
    <row r="58" spans="1:13" ht="12">
      <c r="A58" s="165">
        <v>49</v>
      </c>
      <c r="B58" s="166"/>
      <c r="C58" s="166"/>
      <c r="D58" s="166"/>
      <c r="E58" s="166"/>
      <c r="F58" s="166"/>
      <c r="G58" s="166">
        <f>'Capital Cost Estimate'!$AE$456/100</f>
        <v>19588.000000000004</v>
      </c>
      <c r="H58" s="166">
        <f>'Operating Cost Estimate'!$P$61/100</f>
        <v>415800</v>
      </c>
      <c r="I58" s="166"/>
      <c r="J58" s="166">
        <f>('Operating Cost Estimate'!$P$64/115)+('Operating Cost Estimate'!$P$65/27)+('Operating Cost Estimate'!$P$66/27)</f>
        <v>202738.14814814815</v>
      </c>
      <c r="K58" s="167">
        <f t="shared" si="2"/>
        <v>638126.1481481481</v>
      </c>
      <c r="L58" s="168">
        <f t="shared" si="0"/>
        <v>2716004.914136928</v>
      </c>
      <c r="M58" s="168">
        <f t="shared" si="1"/>
        <v>237128.77063911737</v>
      </c>
    </row>
    <row r="59" spans="1:13" ht="12">
      <c r="A59" s="165">
        <v>50</v>
      </c>
      <c r="B59" s="166"/>
      <c r="C59" s="166"/>
      <c r="D59" s="166"/>
      <c r="E59" s="166"/>
      <c r="F59" s="166"/>
      <c r="G59" s="166">
        <f>'Capital Cost Estimate'!$AE$456/100</f>
        <v>19588.000000000004</v>
      </c>
      <c r="H59" s="166">
        <f>'Operating Cost Estimate'!$P$61/100</f>
        <v>415800</v>
      </c>
      <c r="I59" s="166"/>
      <c r="J59" s="166">
        <f>('Operating Cost Estimate'!$P$64/115)</f>
        <v>30800</v>
      </c>
      <c r="K59" s="167">
        <f t="shared" si="2"/>
        <v>466188</v>
      </c>
      <c r="L59" s="168">
        <f t="shared" si="0"/>
        <v>2043724.3790490192</v>
      </c>
      <c r="M59" s="168">
        <f t="shared" si="1"/>
        <v>169771.53482045265</v>
      </c>
    </row>
    <row r="60" spans="1:13" ht="12">
      <c r="A60" s="165">
        <v>51</v>
      </c>
      <c r="B60" s="166"/>
      <c r="C60" s="166"/>
      <c r="D60" s="166"/>
      <c r="E60" s="166"/>
      <c r="F60" s="166"/>
      <c r="G60" s="166">
        <f>'Capital Cost Estimate'!$AE$456/100</f>
        <v>19588.000000000004</v>
      </c>
      <c r="H60" s="166">
        <f>'Operating Cost Estimate'!$P$61/100</f>
        <v>415800</v>
      </c>
      <c r="I60" s="166"/>
      <c r="J60" s="166">
        <f>('Operating Cost Estimate'!$P$64/115)</f>
        <v>30800</v>
      </c>
      <c r="K60" s="167">
        <f t="shared" si="2"/>
        <v>466188</v>
      </c>
      <c r="L60" s="168">
        <f t="shared" si="0"/>
        <v>2105036.1104204897</v>
      </c>
      <c r="M60" s="168">
        <f t="shared" si="1"/>
        <v>166376.10412404363</v>
      </c>
    </row>
    <row r="61" spans="1:13" ht="12">
      <c r="A61" s="165">
        <v>52</v>
      </c>
      <c r="B61" s="166"/>
      <c r="C61" s="166"/>
      <c r="D61" s="166"/>
      <c r="E61" s="166"/>
      <c r="F61" s="166"/>
      <c r="G61" s="166">
        <f>'Capital Cost Estimate'!$AE$456/100</f>
        <v>19588.000000000004</v>
      </c>
      <c r="H61" s="166">
        <f>'Operating Cost Estimate'!$P$61/100</f>
        <v>415800</v>
      </c>
      <c r="I61" s="166"/>
      <c r="J61" s="166">
        <f>('Operating Cost Estimate'!$P$64/115)</f>
        <v>30800</v>
      </c>
      <c r="K61" s="167">
        <f t="shared" si="2"/>
        <v>466188</v>
      </c>
      <c r="L61" s="168">
        <f t="shared" si="0"/>
        <v>2168187.1937331045</v>
      </c>
      <c r="M61" s="168">
        <f t="shared" si="1"/>
        <v>163048.58204156274</v>
      </c>
    </row>
    <row r="62" spans="1:13" ht="12">
      <c r="A62" s="165">
        <v>53</v>
      </c>
      <c r="B62" s="166"/>
      <c r="C62" s="166"/>
      <c r="D62" s="166"/>
      <c r="E62" s="166"/>
      <c r="F62" s="166"/>
      <c r="G62" s="166">
        <f>'Capital Cost Estimate'!$AE$456/100</f>
        <v>19588.000000000004</v>
      </c>
      <c r="H62" s="166">
        <f>'Operating Cost Estimate'!$P$61/100</f>
        <v>415800</v>
      </c>
      <c r="I62" s="166"/>
      <c r="J62" s="166">
        <f>('Operating Cost Estimate'!$P$64/115)</f>
        <v>30800</v>
      </c>
      <c r="K62" s="167">
        <f t="shared" si="2"/>
        <v>466188</v>
      </c>
      <c r="L62" s="168">
        <f t="shared" si="0"/>
        <v>2233232.809545097</v>
      </c>
      <c r="M62" s="168">
        <f t="shared" si="1"/>
        <v>159787.61040073147</v>
      </c>
    </row>
    <row r="63" spans="1:13" ht="12">
      <c r="A63" s="165">
        <v>54</v>
      </c>
      <c r="B63" s="166"/>
      <c r="C63" s="166"/>
      <c r="D63" s="166"/>
      <c r="E63" s="166"/>
      <c r="F63" s="166"/>
      <c r="G63" s="166">
        <f>'Capital Cost Estimate'!$AE$456/100</f>
        <v>19588.000000000004</v>
      </c>
      <c r="H63" s="166">
        <f>'Operating Cost Estimate'!$P$61/100</f>
        <v>415800</v>
      </c>
      <c r="I63" s="166"/>
      <c r="J63" s="166">
        <f>('Operating Cost Estimate'!$P$64/115)+('Operating Cost Estimate'!$P$65/27)+('Operating Cost Estimate'!$P$66/27)</f>
        <v>202738.14814814815</v>
      </c>
      <c r="K63" s="167">
        <f aca="true" t="shared" si="3" ref="K63:K72">SUM(B63:J63)</f>
        <v>638126.1481481481</v>
      </c>
      <c r="L63" s="168">
        <f aca="true" t="shared" si="4" ref="L63:L72">($K63*((1+L$8)^A63))</f>
        <v>3148594.0826303386</v>
      </c>
      <c r="M63" s="168">
        <f aca="true" t="shared" si="5" ref="M63:M72">K63*((1+L$8-M$8)^A63)</f>
        <v>214345.6273003154</v>
      </c>
    </row>
    <row r="64" spans="1:13" ht="12">
      <c r="A64" s="165">
        <v>55</v>
      </c>
      <c r="B64" s="166"/>
      <c r="C64" s="166"/>
      <c r="D64" s="166"/>
      <c r="E64" s="166"/>
      <c r="F64" s="166"/>
      <c r="G64" s="166">
        <f>'Capital Cost Estimate'!$AE$456/100</f>
        <v>19588.000000000004</v>
      </c>
      <c r="H64" s="166">
        <f>'Operating Cost Estimate'!$P$61/100</f>
        <v>415800</v>
      </c>
      <c r="I64" s="166"/>
      <c r="J64" s="166">
        <f>('Operating Cost Estimate'!$P$64/115)</f>
        <v>30800</v>
      </c>
      <c r="K64" s="167">
        <f t="shared" si="3"/>
        <v>466188</v>
      </c>
      <c r="L64" s="168">
        <f t="shared" si="4"/>
        <v>2369236.687646394</v>
      </c>
      <c r="M64" s="168">
        <f t="shared" si="5"/>
        <v>153460.0210288625</v>
      </c>
    </row>
    <row r="65" spans="1:13" ht="12">
      <c r="A65" s="165">
        <v>56</v>
      </c>
      <c r="B65" s="166"/>
      <c r="C65" s="166"/>
      <c r="D65" s="166"/>
      <c r="E65" s="166"/>
      <c r="F65" s="166"/>
      <c r="G65" s="166">
        <f>'Capital Cost Estimate'!$AE$456/100</f>
        <v>19588.000000000004</v>
      </c>
      <c r="H65" s="166">
        <f>'Operating Cost Estimate'!$P$61/100</f>
        <v>415800</v>
      </c>
      <c r="I65" s="166"/>
      <c r="J65" s="166">
        <f>('Operating Cost Estimate'!$P$64/115)</f>
        <v>30800</v>
      </c>
      <c r="K65" s="167">
        <f t="shared" si="3"/>
        <v>466188</v>
      </c>
      <c r="L65" s="168">
        <f t="shared" si="4"/>
        <v>2440313.7882757853</v>
      </c>
      <c r="M65" s="168">
        <f t="shared" si="5"/>
        <v>150390.82060828526</v>
      </c>
    </row>
    <row r="66" spans="1:13" ht="12">
      <c r="A66" s="165">
        <v>57</v>
      </c>
      <c r="B66" s="166"/>
      <c r="C66" s="166"/>
      <c r="D66" s="166"/>
      <c r="E66" s="166"/>
      <c r="F66" s="166"/>
      <c r="G66" s="166">
        <f>'Capital Cost Estimate'!$AE$456/100</f>
        <v>19588.000000000004</v>
      </c>
      <c r="H66" s="166">
        <f>'Operating Cost Estimate'!$P$61/100</f>
        <v>415800</v>
      </c>
      <c r="I66" s="166"/>
      <c r="J66" s="166">
        <f>('Operating Cost Estimate'!$P$64/115)</f>
        <v>30800</v>
      </c>
      <c r="K66" s="167">
        <f t="shared" si="3"/>
        <v>466188</v>
      </c>
      <c r="L66" s="168">
        <f t="shared" si="4"/>
        <v>2513523.201924059</v>
      </c>
      <c r="M66" s="168">
        <f t="shared" si="5"/>
        <v>147383.00419611952</v>
      </c>
    </row>
    <row r="67" spans="1:13" ht="12">
      <c r="A67" s="165">
        <v>58</v>
      </c>
      <c r="B67" s="166"/>
      <c r="C67" s="166"/>
      <c r="D67" s="166"/>
      <c r="E67" s="166"/>
      <c r="F67" s="166"/>
      <c r="G67" s="166">
        <f>'Capital Cost Estimate'!$AE$456/100</f>
        <v>19588.000000000004</v>
      </c>
      <c r="H67" s="166">
        <f>'Operating Cost Estimate'!$P$61/100</f>
        <v>415800</v>
      </c>
      <c r="I67" s="166"/>
      <c r="J67" s="166">
        <f>('Operating Cost Estimate'!$P$64/115)</f>
        <v>30800</v>
      </c>
      <c r="K67" s="167">
        <f t="shared" si="3"/>
        <v>466188</v>
      </c>
      <c r="L67" s="168">
        <f t="shared" si="4"/>
        <v>2588928.897981781</v>
      </c>
      <c r="M67" s="168">
        <f t="shared" si="5"/>
        <v>144435.34411219714</v>
      </c>
    </row>
    <row r="68" spans="1:13" ht="12">
      <c r="A68" s="165">
        <v>59</v>
      </c>
      <c r="B68" s="166"/>
      <c r="C68" s="166"/>
      <c r="D68" s="166"/>
      <c r="E68" s="166"/>
      <c r="F68" s="166"/>
      <c r="G68" s="166">
        <f>'Capital Cost Estimate'!$AE$456/100</f>
        <v>19588.000000000004</v>
      </c>
      <c r="H68" s="166">
        <f>'Operating Cost Estimate'!$P$61/100</f>
        <v>415800</v>
      </c>
      <c r="I68" s="166"/>
      <c r="J68" s="166">
        <f>('Operating Cost Estimate'!$P$64/115)+('Operating Cost Estimate'!$P$65/27)+('Operating Cost Estimate'!$P$66/27)</f>
        <v>202738.14814814815</v>
      </c>
      <c r="K68" s="167">
        <f t="shared" si="3"/>
        <v>638126.1481481481</v>
      </c>
      <c r="L68" s="168">
        <f t="shared" si="4"/>
        <v>3650083.490487743</v>
      </c>
      <c r="M68" s="168">
        <f t="shared" si="5"/>
        <v>193751.47021989684</v>
      </c>
    </row>
    <row r="69" spans="1:13" ht="12">
      <c r="A69" s="165">
        <v>60</v>
      </c>
      <c r="B69" s="166"/>
      <c r="C69" s="166"/>
      <c r="D69" s="166"/>
      <c r="E69" s="166"/>
      <c r="F69" s="166"/>
      <c r="G69" s="166">
        <f>'Capital Cost Estimate'!$AE$456/100</f>
        <v>19588.000000000004</v>
      </c>
      <c r="H69" s="166">
        <f>'Operating Cost Estimate'!$P$61/100</f>
        <v>415800</v>
      </c>
      <c r="I69" s="166"/>
      <c r="J69" s="166">
        <f>('Operating Cost Estimate'!$P$64/115)</f>
        <v>30800</v>
      </c>
      <c r="K69" s="167">
        <f t="shared" si="3"/>
        <v>466188</v>
      </c>
      <c r="L69" s="168">
        <f t="shared" si="4"/>
        <v>2746594.6678688712</v>
      </c>
      <c r="M69" s="168">
        <f t="shared" si="5"/>
        <v>138715.7044853541</v>
      </c>
    </row>
    <row r="70" spans="1:13" ht="12">
      <c r="A70" s="165">
        <v>61</v>
      </c>
      <c r="B70" s="166"/>
      <c r="C70" s="166"/>
      <c r="D70" s="166"/>
      <c r="E70" s="166"/>
      <c r="F70" s="166"/>
      <c r="G70" s="166">
        <f>'Capital Cost Estimate'!$AE$456/100</f>
        <v>19588.000000000004</v>
      </c>
      <c r="H70" s="166">
        <f>'Operating Cost Estimate'!$P$61/100</f>
        <v>415800</v>
      </c>
      <c r="I70" s="166"/>
      <c r="J70" s="166">
        <f>('Operating Cost Estimate'!$P$64/115)</f>
        <v>30800</v>
      </c>
      <c r="K70" s="167">
        <f t="shared" si="3"/>
        <v>466188</v>
      </c>
      <c r="L70" s="168">
        <f t="shared" si="4"/>
        <v>2828992.507904937</v>
      </c>
      <c r="M70" s="168">
        <f t="shared" si="5"/>
        <v>135941.39039564703</v>
      </c>
    </row>
    <row r="71" spans="1:13" ht="12">
      <c r="A71" s="165">
        <v>62</v>
      </c>
      <c r="B71" s="166"/>
      <c r="C71" s="166"/>
      <c r="D71" s="166"/>
      <c r="E71" s="166"/>
      <c r="F71" s="166"/>
      <c r="G71" s="166">
        <f>'Capital Cost Estimate'!$AE$456/100</f>
        <v>19588.000000000004</v>
      </c>
      <c r="H71" s="166">
        <f>'Operating Cost Estimate'!$P$61/100</f>
        <v>415800</v>
      </c>
      <c r="I71" s="166"/>
      <c r="J71" s="166">
        <f>('Operating Cost Estimate'!$P$64/115)</f>
        <v>30800</v>
      </c>
      <c r="K71" s="167">
        <f t="shared" si="3"/>
        <v>466188</v>
      </c>
      <c r="L71" s="168">
        <f t="shared" si="4"/>
        <v>2913862.283142085</v>
      </c>
      <c r="M71" s="168">
        <f t="shared" si="5"/>
        <v>133222.56258773408</v>
      </c>
    </row>
    <row r="72" spans="1:13" ht="12">
      <c r="A72" s="165">
        <v>63</v>
      </c>
      <c r="B72" s="166"/>
      <c r="C72" s="166"/>
      <c r="D72" s="166"/>
      <c r="E72" s="166"/>
      <c r="F72" s="166"/>
      <c r="G72" s="166">
        <f>'Capital Cost Estimate'!$AE$456/100</f>
        <v>19588.000000000004</v>
      </c>
      <c r="H72" s="166">
        <f>'Operating Cost Estimate'!$P$61/100</f>
        <v>415800</v>
      </c>
      <c r="I72" s="166"/>
      <c r="J72" s="166">
        <f>('Operating Cost Estimate'!$P$64/115)</f>
        <v>30800</v>
      </c>
      <c r="K72" s="167">
        <f t="shared" si="3"/>
        <v>466188</v>
      </c>
      <c r="L72" s="168">
        <f t="shared" si="4"/>
        <v>3001278.151636348</v>
      </c>
      <c r="M72" s="168">
        <f t="shared" si="5"/>
        <v>130558.11133597938</v>
      </c>
    </row>
    <row r="73" spans="1:13" ht="12">
      <c r="A73" s="165">
        <v>64</v>
      </c>
      <c r="B73" s="166"/>
      <c r="C73" s="166"/>
      <c r="D73" s="166"/>
      <c r="E73" s="166"/>
      <c r="F73" s="166"/>
      <c r="G73" s="166">
        <f>'Capital Cost Estimate'!$AE$456/100</f>
        <v>19588.000000000004</v>
      </c>
      <c r="H73" s="166">
        <f>'Operating Cost Estimate'!$P$61/100</f>
        <v>415800</v>
      </c>
      <c r="I73" s="166"/>
      <c r="J73" s="166">
        <f>('Operating Cost Estimate'!$P$64/115)+('Operating Cost Estimate'!$P$65/27)+('Operating Cost Estimate'!$P$66/27)</f>
        <v>202738.14814814815</v>
      </c>
      <c r="K73" s="167">
        <f t="shared" si="2"/>
        <v>638126.1481481481</v>
      </c>
      <c r="L73" s="168">
        <f t="shared" si="0"/>
        <v>4231447.15955289</v>
      </c>
      <c r="M73" s="168">
        <f t="shared" si="1"/>
        <v>175135.98334234062</v>
      </c>
    </row>
    <row r="74" spans="1:13" ht="12">
      <c r="A74" s="165">
        <v>65</v>
      </c>
      <c r="B74" s="166"/>
      <c r="C74" s="166"/>
      <c r="D74" s="166"/>
      <c r="E74" s="166"/>
      <c r="F74" s="166"/>
      <c r="G74" s="166">
        <f>'Capital Cost Estimate'!$AE$456/100</f>
        <v>19588.000000000004</v>
      </c>
      <c r="H74" s="166">
        <f>'Operating Cost Estimate'!$P$61/100</f>
        <v>415800</v>
      </c>
      <c r="I74" s="166"/>
      <c r="J74" s="166">
        <f>('Operating Cost Estimate'!$P$64/115)</f>
        <v>30800</v>
      </c>
      <c r="K74" s="167">
        <f t="shared" si="2"/>
        <v>466188</v>
      </c>
      <c r="L74" s="168">
        <f t="shared" si="0"/>
        <v>3184055.991071001</v>
      </c>
      <c r="M74" s="168">
        <f t="shared" si="1"/>
        <v>125388.0101270746</v>
      </c>
    </row>
    <row r="75" spans="1:13" ht="12">
      <c r="A75" s="165">
        <v>66</v>
      </c>
      <c r="B75" s="166"/>
      <c r="C75" s="166"/>
      <c r="D75" s="166"/>
      <c r="E75" s="166"/>
      <c r="F75" s="166"/>
      <c r="G75" s="166">
        <f>'Capital Cost Estimate'!$AE$456/100</f>
        <v>19588.000000000004</v>
      </c>
      <c r="H75" s="166">
        <f>'Operating Cost Estimate'!$P$61/100</f>
        <v>415800</v>
      </c>
      <c r="I75" s="166"/>
      <c r="J75" s="166">
        <f>('Operating Cost Estimate'!$P$64/115)</f>
        <v>30800</v>
      </c>
      <c r="K75" s="167">
        <f t="shared" si="2"/>
        <v>466188</v>
      </c>
      <c r="L75" s="168">
        <f t="shared" si="0"/>
        <v>3279577.670803131</v>
      </c>
      <c r="M75" s="168">
        <f t="shared" si="1"/>
        <v>122880.2499245331</v>
      </c>
    </row>
    <row r="76" spans="1:13" ht="12">
      <c r="A76" s="165">
        <v>67</v>
      </c>
      <c r="B76" s="166"/>
      <c r="C76" s="166"/>
      <c r="D76" s="166"/>
      <c r="E76" s="166"/>
      <c r="F76" s="166"/>
      <c r="G76" s="166">
        <f>'Capital Cost Estimate'!$AE$456/100</f>
        <v>19588.000000000004</v>
      </c>
      <c r="H76" s="166">
        <f>'Operating Cost Estimate'!$P$61/100</f>
        <v>415800</v>
      </c>
      <c r="I76" s="166"/>
      <c r="J76" s="166">
        <f>('Operating Cost Estimate'!$P$64/115)</f>
        <v>30800</v>
      </c>
      <c r="K76" s="167">
        <f t="shared" si="2"/>
        <v>466188</v>
      </c>
      <c r="L76" s="168">
        <f t="shared" si="0"/>
        <v>3377965.000927225</v>
      </c>
      <c r="M76" s="168">
        <f t="shared" si="1"/>
        <v>120422.64492604246</v>
      </c>
    </row>
    <row r="77" spans="1:13" ht="12">
      <c r="A77" s="165">
        <v>68</v>
      </c>
      <c r="B77" s="166"/>
      <c r="C77" s="166"/>
      <c r="D77" s="166"/>
      <c r="E77" s="166"/>
      <c r="F77" s="166"/>
      <c r="G77" s="166">
        <f>'Capital Cost Estimate'!$AE$456/100</f>
        <v>19588.000000000004</v>
      </c>
      <c r="H77" s="166">
        <f>'Operating Cost Estimate'!$P$61/100</f>
        <v>415800</v>
      </c>
      <c r="I77" s="166"/>
      <c r="J77" s="166">
        <f>('Operating Cost Estimate'!$P$64/115)</f>
        <v>30800</v>
      </c>
      <c r="K77" s="167">
        <f t="shared" si="2"/>
        <v>466188</v>
      </c>
      <c r="L77" s="168">
        <f t="shared" si="0"/>
        <v>3479303.9509550417</v>
      </c>
      <c r="M77" s="168">
        <f t="shared" si="1"/>
        <v>118014.1920275216</v>
      </c>
    </row>
    <row r="78" spans="1:13" ht="12">
      <c r="A78" s="165">
        <v>69</v>
      </c>
      <c r="B78" s="166"/>
      <c r="C78" s="166"/>
      <c r="D78" s="166"/>
      <c r="E78" s="166"/>
      <c r="F78" s="166"/>
      <c r="G78" s="166">
        <f>'Capital Cost Estimate'!$AE$456/100</f>
        <v>19588.000000000004</v>
      </c>
      <c r="H78" s="166">
        <f>'Operating Cost Estimate'!$P$61/100</f>
        <v>415800</v>
      </c>
      <c r="I78" s="166"/>
      <c r="J78" s="166">
        <f>('Operating Cost Estimate'!$P$64/115)+('Operating Cost Estimate'!$P$65/27)+('Operating Cost Estimate'!$P$66/27)</f>
        <v>202738.14814814815</v>
      </c>
      <c r="K78" s="167">
        <f t="shared" si="2"/>
        <v>638126.1481481481</v>
      </c>
      <c r="L78" s="168">
        <f t="shared" si="0"/>
        <v>4905406.988840041</v>
      </c>
      <c r="M78" s="168">
        <f t="shared" si="1"/>
        <v>158309.05761116</v>
      </c>
    </row>
    <row r="79" spans="1:13" ht="12">
      <c r="A79" s="165">
        <v>70</v>
      </c>
      <c r="B79" s="166"/>
      <c r="C79" s="166"/>
      <c r="D79" s="166"/>
      <c r="E79" s="166"/>
      <c r="F79" s="166"/>
      <c r="G79" s="166">
        <f>'Capital Cost Estimate'!$AE$456/100</f>
        <v>19588.000000000004</v>
      </c>
      <c r="H79" s="166">
        <f>'Operating Cost Estimate'!$P$61/100</f>
        <v>415800</v>
      </c>
      <c r="I79" s="166"/>
      <c r="J79" s="166">
        <f>('Operating Cost Estimate'!$P$64/115)</f>
        <v>30800</v>
      </c>
      <c r="K79" s="167">
        <f t="shared" si="2"/>
        <v>466188</v>
      </c>
      <c r="L79" s="168">
        <f t="shared" si="0"/>
        <v>3691193.5615682034</v>
      </c>
      <c r="M79" s="168">
        <f t="shared" si="1"/>
        <v>113340.83002323171</v>
      </c>
    </row>
    <row r="80" spans="1:13" ht="12">
      <c r="A80" s="165">
        <v>71</v>
      </c>
      <c r="B80" s="166"/>
      <c r="C80" s="166"/>
      <c r="D80" s="166"/>
      <c r="E80" s="166"/>
      <c r="F80" s="166"/>
      <c r="G80" s="166">
        <f>'Capital Cost Estimate'!$AE$456/100</f>
        <v>19588.000000000004</v>
      </c>
      <c r="H80" s="166">
        <f>'Operating Cost Estimate'!$P$61/100</f>
        <v>415800</v>
      </c>
      <c r="I80" s="166"/>
      <c r="J80" s="166">
        <f>('Operating Cost Estimate'!$P$64/115)</f>
        <v>30800</v>
      </c>
      <c r="K80" s="167">
        <f t="shared" si="2"/>
        <v>466188</v>
      </c>
      <c r="L80" s="168">
        <f t="shared" si="0"/>
        <v>3801929.36841525</v>
      </c>
      <c r="M80" s="168">
        <f t="shared" si="1"/>
        <v>111074.01342276708</v>
      </c>
    </row>
    <row r="81" spans="1:13" ht="12">
      <c r="A81" s="165">
        <v>72</v>
      </c>
      <c r="B81" s="166"/>
      <c r="C81" s="166"/>
      <c r="D81" s="166"/>
      <c r="E81" s="166"/>
      <c r="F81" s="166"/>
      <c r="G81" s="166">
        <f>'Capital Cost Estimate'!$AE$456/100</f>
        <v>19588.000000000004</v>
      </c>
      <c r="H81" s="166">
        <f>'Operating Cost Estimate'!$P$61/100</f>
        <v>415800</v>
      </c>
      <c r="I81" s="166"/>
      <c r="J81" s="166">
        <f>('Operating Cost Estimate'!$P$64/115)</f>
        <v>30800</v>
      </c>
      <c r="K81" s="167">
        <f t="shared" si="2"/>
        <v>466188</v>
      </c>
      <c r="L81" s="168">
        <f t="shared" si="0"/>
        <v>3915987.249467707</v>
      </c>
      <c r="M81" s="168">
        <f t="shared" si="1"/>
        <v>108852.53315431174</v>
      </c>
    </row>
    <row r="82" spans="1:13" ht="12">
      <c r="A82" s="165">
        <v>73</v>
      </c>
      <c r="B82" s="166"/>
      <c r="C82" s="166"/>
      <c r="D82" s="166"/>
      <c r="E82" s="166"/>
      <c r="F82" s="166"/>
      <c r="G82" s="166">
        <f>'Capital Cost Estimate'!$AE$456/100</f>
        <v>19588.000000000004</v>
      </c>
      <c r="H82" s="166">
        <f>'Operating Cost Estimate'!$P$61/100</f>
        <v>415800</v>
      </c>
      <c r="I82" s="166"/>
      <c r="J82" s="166">
        <f>('Operating Cost Estimate'!$P$64/115)</f>
        <v>30800</v>
      </c>
      <c r="K82" s="167">
        <f t="shared" si="2"/>
        <v>466188</v>
      </c>
      <c r="L82" s="168">
        <f t="shared" si="0"/>
        <v>4033466.866951738</v>
      </c>
      <c r="M82" s="168">
        <f t="shared" si="1"/>
        <v>106675.4824912255</v>
      </c>
    </row>
    <row r="83" spans="1:13" ht="12">
      <c r="A83" s="165">
        <v>74</v>
      </c>
      <c r="B83" s="166"/>
      <c r="C83" s="166"/>
      <c r="D83" s="166"/>
      <c r="E83" s="166"/>
      <c r="F83" s="166"/>
      <c r="G83" s="166">
        <f>'Capital Cost Estimate'!$AE$456/100</f>
        <v>19588.000000000004</v>
      </c>
      <c r="H83" s="166">
        <f>'Operating Cost Estimate'!$P$61/100</f>
        <v>415800</v>
      </c>
      <c r="I83" s="166"/>
      <c r="J83" s="166">
        <f>('Operating Cost Estimate'!$P$64/115)+('Operating Cost Estimate'!$P$65/27)+('Operating Cost Estimate'!$P$66/27)</f>
        <v>202738.14814814815</v>
      </c>
      <c r="K83" s="167">
        <f aca="true" t="shared" si="6" ref="K83:K92">SUM(B83:J83)</f>
        <v>638126.1481481481</v>
      </c>
      <c r="L83" s="168">
        <f aca="true" t="shared" si="7" ref="L83:L92">($K83*((1+L$8)^A83))</f>
        <v>5686711.146052289</v>
      </c>
      <c r="M83" s="168">
        <f aca="true" t="shared" si="8" ref="M83:M92">K83*((1+L$8-M$8)^A83)</f>
        <v>143098.84949653683</v>
      </c>
    </row>
    <row r="84" spans="1:13" ht="12">
      <c r="A84" s="165">
        <v>75</v>
      </c>
      <c r="B84" s="166"/>
      <c r="C84" s="166"/>
      <c r="D84" s="166"/>
      <c r="E84" s="166"/>
      <c r="F84" s="166"/>
      <c r="G84" s="166">
        <f>'Capital Cost Estimate'!$AE$456/100</f>
        <v>19588.000000000004</v>
      </c>
      <c r="H84" s="166">
        <f>'Operating Cost Estimate'!$P$61/100</f>
        <v>415800</v>
      </c>
      <c r="I84" s="166"/>
      <c r="J84" s="166">
        <f>('Operating Cost Estimate'!$P$64/115)</f>
        <v>30800</v>
      </c>
      <c r="K84" s="167">
        <f t="shared" si="6"/>
        <v>466188</v>
      </c>
      <c r="L84" s="168">
        <f t="shared" si="7"/>
        <v>4279104.999149099</v>
      </c>
      <c r="M84" s="168">
        <f t="shared" si="8"/>
        <v>102451.13338457297</v>
      </c>
    </row>
    <row r="85" spans="1:13" ht="12">
      <c r="A85" s="165">
        <v>76</v>
      </c>
      <c r="B85" s="166"/>
      <c r="C85" s="166"/>
      <c r="D85" s="166"/>
      <c r="E85" s="166"/>
      <c r="F85" s="166"/>
      <c r="G85" s="166">
        <f>'Capital Cost Estimate'!$AE$456/100</f>
        <v>19588.000000000004</v>
      </c>
      <c r="H85" s="166">
        <f>'Operating Cost Estimate'!$P$61/100</f>
        <v>415800</v>
      </c>
      <c r="I85" s="166"/>
      <c r="J85" s="166">
        <f>('Operating Cost Estimate'!$P$64/115)</f>
        <v>30800</v>
      </c>
      <c r="K85" s="167">
        <f t="shared" si="6"/>
        <v>466188</v>
      </c>
      <c r="L85" s="168">
        <f t="shared" si="7"/>
        <v>4407478.149123572</v>
      </c>
      <c r="M85" s="168">
        <f t="shared" si="8"/>
        <v>100402.1107168815</v>
      </c>
    </row>
    <row r="86" spans="1:13" ht="12">
      <c r="A86" s="165">
        <v>77</v>
      </c>
      <c r="B86" s="166"/>
      <c r="C86" s="166"/>
      <c r="D86" s="166"/>
      <c r="E86" s="166"/>
      <c r="F86" s="166"/>
      <c r="G86" s="166">
        <f>'Capital Cost Estimate'!$AE$456/100</f>
        <v>19588.000000000004</v>
      </c>
      <c r="H86" s="166">
        <f>'Operating Cost Estimate'!$P$61/100</f>
        <v>415800</v>
      </c>
      <c r="I86" s="166"/>
      <c r="J86" s="166">
        <f>('Operating Cost Estimate'!$P$64/115)</f>
        <v>30800</v>
      </c>
      <c r="K86" s="167">
        <f t="shared" si="6"/>
        <v>466188</v>
      </c>
      <c r="L86" s="168">
        <f t="shared" si="7"/>
        <v>4539702.493597278</v>
      </c>
      <c r="M86" s="168">
        <f t="shared" si="8"/>
        <v>98394.06850254387</v>
      </c>
    </row>
    <row r="87" spans="1:13" ht="12">
      <c r="A87" s="165">
        <v>78</v>
      </c>
      <c r="B87" s="166"/>
      <c r="C87" s="166"/>
      <c r="D87" s="166"/>
      <c r="E87" s="166"/>
      <c r="F87" s="166"/>
      <c r="G87" s="166">
        <f>'Capital Cost Estimate'!$AE$456/100</f>
        <v>19588.000000000004</v>
      </c>
      <c r="H87" s="166">
        <f>'Operating Cost Estimate'!$P$61/100</f>
        <v>415800</v>
      </c>
      <c r="I87" s="166"/>
      <c r="J87" s="166">
        <f>('Operating Cost Estimate'!$P$64/115)</f>
        <v>30800</v>
      </c>
      <c r="K87" s="167">
        <f t="shared" si="6"/>
        <v>466188</v>
      </c>
      <c r="L87" s="168">
        <f t="shared" si="7"/>
        <v>4675893.568405198</v>
      </c>
      <c r="M87" s="168">
        <f t="shared" si="8"/>
        <v>96426.18713249298</v>
      </c>
    </row>
    <row r="88" spans="1:13" ht="12">
      <c r="A88" s="165">
        <v>79</v>
      </c>
      <c r="B88" s="166"/>
      <c r="C88" s="166"/>
      <c r="D88" s="166"/>
      <c r="E88" s="166"/>
      <c r="F88" s="166"/>
      <c r="G88" s="166">
        <f>'Capital Cost Estimate'!$AE$456/100</f>
        <v>19588.000000000004</v>
      </c>
      <c r="H88" s="166">
        <f>'Operating Cost Estimate'!$P$61/100</f>
        <v>415800</v>
      </c>
      <c r="I88" s="166"/>
      <c r="J88" s="166">
        <f>('Operating Cost Estimate'!$P$64/115)+('Operating Cost Estimate'!$P$65/27)+('Operating Cost Estimate'!$P$66/27)</f>
        <v>202738.14814814815</v>
      </c>
      <c r="K88" s="167">
        <f t="shared" si="6"/>
        <v>638126.1481481481</v>
      </c>
      <c r="L88" s="168">
        <f t="shared" si="7"/>
        <v>6592456.79965126</v>
      </c>
      <c r="M88" s="168">
        <f t="shared" si="8"/>
        <v>129350.02605807285</v>
      </c>
    </row>
    <row r="89" spans="1:13" ht="12">
      <c r="A89" s="165">
        <v>80</v>
      </c>
      <c r="B89" s="166"/>
      <c r="C89" s="166"/>
      <c r="D89" s="166"/>
      <c r="E89" s="166"/>
      <c r="F89" s="166"/>
      <c r="G89" s="166">
        <f>'Capital Cost Estimate'!$AE$456/100</f>
        <v>19588.000000000004</v>
      </c>
      <c r="H89" s="166">
        <f>'Operating Cost Estimate'!$P$61/100</f>
        <v>415800</v>
      </c>
      <c r="I89" s="166"/>
      <c r="J89" s="166">
        <f>('Operating Cost Estimate'!$P$64/115)</f>
        <v>30800</v>
      </c>
      <c r="K89" s="167">
        <f t="shared" si="6"/>
        <v>466188</v>
      </c>
      <c r="L89" s="168">
        <f t="shared" si="7"/>
        <v>4960655.486721073</v>
      </c>
      <c r="M89" s="168">
        <f t="shared" si="8"/>
        <v>92607.71012204626</v>
      </c>
    </row>
    <row r="90" spans="1:13" ht="12">
      <c r="A90" s="165">
        <v>81</v>
      </c>
      <c r="B90" s="166"/>
      <c r="C90" s="166"/>
      <c r="D90" s="166"/>
      <c r="E90" s="166"/>
      <c r="F90" s="166"/>
      <c r="G90" s="166">
        <f>'Capital Cost Estimate'!$AE$456/100</f>
        <v>19588.000000000004</v>
      </c>
      <c r="H90" s="166">
        <f>'Operating Cost Estimate'!$P$61/100</f>
        <v>415800</v>
      </c>
      <c r="I90" s="166"/>
      <c r="J90" s="166">
        <f>('Operating Cost Estimate'!$P$64/115)</f>
        <v>30800</v>
      </c>
      <c r="K90" s="167">
        <f t="shared" si="6"/>
        <v>466188</v>
      </c>
      <c r="L90" s="168">
        <f t="shared" si="7"/>
        <v>5109475.151322706</v>
      </c>
      <c r="M90" s="168">
        <f t="shared" si="8"/>
        <v>90755.55591960534</v>
      </c>
    </row>
    <row r="91" spans="1:13" ht="12">
      <c r="A91" s="165">
        <v>82</v>
      </c>
      <c r="B91" s="166"/>
      <c r="C91" s="166"/>
      <c r="D91" s="166"/>
      <c r="E91" s="166"/>
      <c r="F91" s="166"/>
      <c r="G91" s="166">
        <f>'Capital Cost Estimate'!$AE$456/100</f>
        <v>19588.000000000004</v>
      </c>
      <c r="H91" s="166">
        <f>'Operating Cost Estimate'!$P$61/100</f>
        <v>415800</v>
      </c>
      <c r="I91" s="166"/>
      <c r="J91" s="166">
        <f>('Operating Cost Estimate'!$P$64/115)</f>
        <v>30800</v>
      </c>
      <c r="K91" s="167">
        <f t="shared" si="6"/>
        <v>466188</v>
      </c>
      <c r="L91" s="168">
        <f t="shared" si="7"/>
        <v>5262759.405862387</v>
      </c>
      <c r="M91" s="168">
        <f t="shared" si="8"/>
        <v>88940.44480121322</v>
      </c>
    </row>
    <row r="92" spans="1:13" ht="12">
      <c r="A92" s="165">
        <v>83</v>
      </c>
      <c r="B92" s="166"/>
      <c r="C92" s="166"/>
      <c r="D92" s="166"/>
      <c r="E92" s="166"/>
      <c r="F92" s="166"/>
      <c r="G92" s="166">
        <f>'Capital Cost Estimate'!$AE$456/100</f>
        <v>19588.000000000004</v>
      </c>
      <c r="H92" s="166">
        <f>'Operating Cost Estimate'!$P$61/100</f>
        <v>415800</v>
      </c>
      <c r="I92" s="166"/>
      <c r="J92" s="166">
        <f>('Operating Cost Estimate'!$P$64/115)</f>
        <v>30800</v>
      </c>
      <c r="K92" s="167">
        <f t="shared" si="6"/>
        <v>466188</v>
      </c>
      <c r="L92" s="168">
        <f t="shared" si="7"/>
        <v>5420642.188038258</v>
      </c>
      <c r="M92" s="168">
        <f t="shared" si="8"/>
        <v>87161.63590518896</v>
      </c>
    </row>
    <row r="93" spans="1:13" ht="12">
      <c r="A93" s="165">
        <v>84</v>
      </c>
      <c r="B93" s="166"/>
      <c r="C93" s="166"/>
      <c r="D93" s="166"/>
      <c r="E93" s="166"/>
      <c r="F93" s="166"/>
      <c r="G93" s="166">
        <f>'Capital Cost Estimate'!$AE$456/100</f>
        <v>19588.000000000004</v>
      </c>
      <c r="H93" s="166">
        <f>'Operating Cost Estimate'!$P$61/100</f>
        <v>415800</v>
      </c>
      <c r="I93" s="166"/>
      <c r="J93" s="166">
        <f>('Operating Cost Estimate'!$P$64/115)+('Operating Cost Estimate'!$P$65/27)+('Operating Cost Estimate'!$P$66/27)</f>
        <v>202738.14814814815</v>
      </c>
      <c r="K93" s="167">
        <f t="shared" si="2"/>
        <v>638126.1481481481</v>
      </c>
      <c r="L93" s="168">
        <f t="shared" si="0"/>
        <v>7642464.253778453</v>
      </c>
      <c r="M93" s="168">
        <f t="shared" si="1"/>
        <v>116922.17862051397</v>
      </c>
    </row>
    <row r="94" spans="1:13" ht="12">
      <c r="A94" s="165">
        <v>85</v>
      </c>
      <c r="B94" s="166"/>
      <c r="C94" s="166"/>
      <c r="D94" s="166"/>
      <c r="E94" s="166"/>
      <c r="F94" s="166"/>
      <c r="G94" s="166">
        <f>'Capital Cost Estimate'!$AE$456/100</f>
        <v>19588.000000000004</v>
      </c>
      <c r="H94" s="166">
        <f>'Operating Cost Estimate'!$P$61/100</f>
        <v>415800</v>
      </c>
      <c r="I94" s="166"/>
      <c r="J94" s="166">
        <f>('Operating Cost Estimate'!$P$64/115)</f>
        <v>30800</v>
      </c>
      <c r="K94" s="167">
        <f t="shared" si="2"/>
        <v>466188</v>
      </c>
      <c r="L94" s="168">
        <f t="shared" si="0"/>
        <v>5750759.297289788</v>
      </c>
      <c r="M94" s="168">
        <f t="shared" si="1"/>
        <v>83710.03512334348</v>
      </c>
    </row>
    <row r="95" spans="1:13" ht="12">
      <c r="A95" s="165">
        <v>86</v>
      </c>
      <c r="B95" s="166"/>
      <c r="C95" s="166"/>
      <c r="D95" s="166"/>
      <c r="E95" s="166"/>
      <c r="F95" s="166"/>
      <c r="G95" s="166">
        <f>'Capital Cost Estimate'!$AE$456/100</f>
        <v>19588.000000000004</v>
      </c>
      <c r="H95" s="166">
        <f>'Operating Cost Estimate'!$P$61/100</f>
        <v>415800</v>
      </c>
      <c r="I95" s="166"/>
      <c r="J95" s="166">
        <f>('Operating Cost Estimate'!$P$64/115)</f>
        <v>30800</v>
      </c>
      <c r="K95" s="167">
        <f t="shared" si="2"/>
        <v>466188</v>
      </c>
      <c r="L95" s="168">
        <f t="shared" si="0"/>
        <v>5923282.076208481</v>
      </c>
      <c r="M95" s="168">
        <f t="shared" si="1"/>
        <v>82035.83442087659</v>
      </c>
    </row>
    <row r="96" spans="1:13" ht="12">
      <c r="A96" s="165">
        <v>87</v>
      </c>
      <c r="B96" s="166"/>
      <c r="C96" s="166"/>
      <c r="D96" s="166"/>
      <c r="E96" s="166"/>
      <c r="F96" s="166"/>
      <c r="G96" s="166">
        <f>'Capital Cost Estimate'!$AE$456/100</f>
        <v>19588.000000000004</v>
      </c>
      <c r="H96" s="166">
        <f>'Operating Cost Estimate'!$P$61/100</f>
        <v>415800</v>
      </c>
      <c r="I96" s="166"/>
      <c r="J96" s="166">
        <f>('Operating Cost Estimate'!$P$64/115)</f>
        <v>30800</v>
      </c>
      <c r="K96" s="167">
        <f t="shared" si="2"/>
        <v>466188</v>
      </c>
      <c r="L96" s="168">
        <f t="shared" si="0"/>
        <v>6100980.538494737</v>
      </c>
      <c r="M96" s="168">
        <f t="shared" si="1"/>
        <v>80395.11773245907</v>
      </c>
    </row>
    <row r="97" spans="1:13" ht="12">
      <c r="A97" s="165">
        <v>88</v>
      </c>
      <c r="B97" s="166"/>
      <c r="C97" s="166"/>
      <c r="D97" s="166"/>
      <c r="E97" s="166"/>
      <c r="F97" s="166"/>
      <c r="G97" s="166">
        <f>'Capital Cost Estimate'!$AE$456/100</f>
        <v>19588.000000000004</v>
      </c>
      <c r="H97" s="166">
        <f>'Operating Cost Estimate'!$P$61/100</f>
        <v>415800</v>
      </c>
      <c r="I97" s="166"/>
      <c r="J97" s="166">
        <f>('Operating Cost Estimate'!$P$64/115)</f>
        <v>30800</v>
      </c>
      <c r="K97" s="167">
        <f t="shared" si="2"/>
        <v>466188</v>
      </c>
      <c r="L97" s="168">
        <f t="shared" si="0"/>
        <v>6284009.954649577</v>
      </c>
      <c r="M97" s="168">
        <f t="shared" si="1"/>
        <v>78787.21537780989</v>
      </c>
    </row>
    <row r="98" spans="1:13" ht="12">
      <c r="A98" s="165">
        <v>89</v>
      </c>
      <c r="B98" s="166"/>
      <c r="C98" s="166"/>
      <c r="D98" s="166"/>
      <c r="E98" s="166"/>
      <c r="F98" s="166"/>
      <c r="G98" s="166">
        <f>'Capital Cost Estimate'!$AE$456/100</f>
        <v>19588.000000000004</v>
      </c>
      <c r="H98" s="166">
        <f>'Operating Cost Estimate'!$P$61/100</f>
        <v>415800</v>
      </c>
      <c r="I98" s="166"/>
      <c r="J98" s="166">
        <f>('Operating Cost Estimate'!$P$64/115)+('Operating Cost Estimate'!$P$65/27)+('Operating Cost Estimate'!$P$66/27)</f>
        <v>202738.14814814815</v>
      </c>
      <c r="K98" s="167">
        <f t="shared" si="2"/>
        <v>638126.1481481481</v>
      </c>
      <c r="L98" s="168">
        <f t="shared" si="0"/>
        <v>8859710.673169855</v>
      </c>
      <c r="M98" s="168">
        <f t="shared" si="1"/>
        <v>105688.38886224688</v>
      </c>
    </row>
    <row r="99" spans="1:13" ht="12">
      <c r="A99" s="165">
        <v>90</v>
      </c>
      <c r="B99" s="166"/>
      <c r="C99" s="166"/>
      <c r="D99" s="166"/>
      <c r="E99" s="166"/>
      <c r="F99" s="166"/>
      <c r="G99" s="166">
        <f>'Capital Cost Estimate'!$AE$456/100</f>
        <v>19588.000000000004</v>
      </c>
      <c r="H99" s="166">
        <f>'Operating Cost Estimate'!$P$61/100</f>
        <v>415800</v>
      </c>
      <c r="I99" s="166"/>
      <c r="J99" s="166">
        <f>('Operating Cost Estimate'!$P$64/115)</f>
        <v>30800</v>
      </c>
      <c r="K99" s="167">
        <f t="shared" si="2"/>
        <v>466188</v>
      </c>
      <c r="L99" s="168">
        <f t="shared" si="0"/>
        <v>6666706.160887738</v>
      </c>
      <c r="M99" s="168">
        <f t="shared" si="1"/>
        <v>75667.2416488486</v>
      </c>
    </row>
    <row r="100" spans="1:13" ht="12">
      <c r="A100" s="165">
        <v>91</v>
      </c>
      <c r="B100" s="166"/>
      <c r="C100" s="166"/>
      <c r="D100" s="166"/>
      <c r="E100" s="166"/>
      <c r="F100" s="166"/>
      <c r="G100" s="166">
        <f>'Capital Cost Estimate'!$AE$456/100</f>
        <v>19588.000000000004</v>
      </c>
      <c r="H100" s="166">
        <f>'Operating Cost Estimate'!$P$61/100</f>
        <v>415800</v>
      </c>
      <c r="I100" s="166"/>
      <c r="J100" s="166">
        <f>('Operating Cost Estimate'!$P$64/115)</f>
        <v>30800</v>
      </c>
      <c r="K100" s="167">
        <f t="shared" si="2"/>
        <v>466188</v>
      </c>
      <c r="L100" s="168">
        <f t="shared" si="0"/>
        <v>6866707.345714369</v>
      </c>
      <c r="M100" s="168">
        <f t="shared" si="1"/>
        <v>74153.89681587162</v>
      </c>
    </row>
    <row r="101" spans="1:13" ht="12">
      <c r="A101" s="165">
        <v>92</v>
      </c>
      <c r="B101" s="166"/>
      <c r="C101" s="166"/>
      <c r="D101" s="166"/>
      <c r="E101" s="166"/>
      <c r="F101" s="166"/>
      <c r="G101" s="166">
        <f>'Capital Cost Estimate'!$AE$456/100</f>
        <v>19588.000000000004</v>
      </c>
      <c r="H101" s="166">
        <f>'Operating Cost Estimate'!$P$61/100</f>
        <v>415800</v>
      </c>
      <c r="I101" s="166"/>
      <c r="J101" s="166">
        <f>('Operating Cost Estimate'!$P$64/115)</f>
        <v>30800</v>
      </c>
      <c r="K101" s="167">
        <f t="shared" si="2"/>
        <v>466188</v>
      </c>
      <c r="L101" s="168">
        <f t="shared" si="0"/>
        <v>7072708.5660858</v>
      </c>
      <c r="M101" s="168">
        <f t="shared" si="1"/>
        <v>72670.8188795542</v>
      </c>
    </row>
    <row r="102" spans="1:13" ht="12">
      <c r="A102" s="165">
        <v>93</v>
      </c>
      <c r="B102" s="166"/>
      <c r="C102" s="166"/>
      <c r="D102" s="166"/>
      <c r="E102" s="166"/>
      <c r="F102" s="166"/>
      <c r="G102" s="166">
        <f>'Capital Cost Estimate'!$AE$456/100</f>
        <v>19588.000000000004</v>
      </c>
      <c r="H102" s="166">
        <f>'Operating Cost Estimate'!$P$61/100</f>
        <v>415800</v>
      </c>
      <c r="I102" s="166"/>
      <c r="J102" s="166">
        <f>('Operating Cost Estimate'!$P$64/115)</f>
        <v>30800</v>
      </c>
      <c r="K102" s="167">
        <f t="shared" si="2"/>
        <v>466188</v>
      </c>
      <c r="L102" s="168">
        <f t="shared" si="0"/>
        <v>7284889.823068373</v>
      </c>
      <c r="M102" s="168">
        <f t="shared" si="1"/>
        <v>71217.40250196311</v>
      </c>
    </row>
    <row r="103" spans="1:13" ht="12">
      <c r="A103" s="165">
        <v>94</v>
      </c>
      <c r="B103" s="166"/>
      <c r="C103" s="166"/>
      <c r="D103" s="166"/>
      <c r="E103" s="166"/>
      <c r="F103" s="166"/>
      <c r="G103" s="166">
        <f>'Capital Cost Estimate'!$AE$456/100</f>
        <v>19588.000000000004</v>
      </c>
      <c r="H103" s="166">
        <f>'Operating Cost Estimate'!$P$61/100</f>
        <v>415800</v>
      </c>
      <c r="I103" s="166"/>
      <c r="J103" s="166">
        <f>('Operating Cost Estimate'!$P$64/115)+('Operating Cost Estimate'!$P$65/27)+('Operating Cost Estimate'!$P$66/27)</f>
        <v>202738.14814814815</v>
      </c>
      <c r="K103" s="167">
        <f aca="true" t="shared" si="9" ref="K103:K112">SUM(B103:J103)</f>
        <v>638126.1481481481</v>
      </c>
      <c r="L103" s="168">
        <f aca="true" t="shared" si="10" ref="L103:L112">($K103*((1+L$8)^A103))</f>
        <v>10270832.889204813</v>
      </c>
      <c r="M103" s="168">
        <f aca="true" t="shared" si="11" ref="M103:M112">K103*((1+L$8-M$8)^A103)</f>
        <v>95533.93267287043</v>
      </c>
    </row>
    <row r="104" spans="1:13" ht="12">
      <c r="A104" s="165">
        <v>95</v>
      </c>
      <c r="B104" s="166"/>
      <c r="C104" s="166"/>
      <c r="D104" s="166"/>
      <c r="E104" s="166"/>
      <c r="F104" s="166"/>
      <c r="G104" s="166">
        <f>'Capital Cost Estimate'!$AE$456/100</f>
        <v>19588.000000000004</v>
      </c>
      <c r="H104" s="166">
        <f>'Operating Cost Estimate'!$P$61/100</f>
        <v>415800</v>
      </c>
      <c r="I104" s="166"/>
      <c r="J104" s="166">
        <f>('Operating Cost Estimate'!$P$64/115)</f>
        <v>30800</v>
      </c>
      <c r="K104" s="167">
        <f t="shared" si="9"/>
        <v>466188</v>
      </c>
      <c r="L104" s="168">
        <f t="shared" si="10"/>
        <v>7728539.613293238</v>
      </c>
      <c r="M104" s="168">
        <f t="shared" si="11"/>
        <v>68397.19336288536</v>
      </c>
    </row>
    <row r="105" spans="1:13" ht="12">
      <c r="A105" s="165">
        <v>96</v>
      </c>
      <c r="B105" s="166"/>
      <c r="C105" s="166"/>
      <c r="D105" s="166"/>
      <c r="E105" s="166"/>
      <c r="F105" s="166"/>
      <c r="G105" s="166">
        <f>'Capital Cost Estimate'!$AE$456/100</f>
        <v>19588.000000000004</v>
      </c>
      <c r="H105" s="166">
        <f>'Operating Cost Estimate'!$P$61/100</f>
        <v>415800</v>
      </c>
      <c r="I105" s="166"/>
      <c r="J105" s="166">
        <f>('Operating Cost Estimate'!$P$64/115)</f>
        <v>30800</v>
      </c>
      <c r="K105" s="167">
        <f t="shared" si="9"/>
        <v>466188</v>
      </c>
      <c r="L105" s="168">
        <f t="shared" si="10"/>
        <v>7960395.801692034</v>
      </c>
      <c r="M105" s="168">
        <f t="shared" si="11"/>
        <v>67029.24949562765</v>
      </c>
    </row>
    <row r="106" spans="1:13" ht="12">
      <c r="A106" s="165">
        <v>97</v>
      </c>
      <c r="B106" s="166"/>
      <c r="C106" s="166"/>
      <c r="D106" s="166"/>
      <c r="E106" s="166"/>
      <c r="F106" s="166"/>
      <c r="G106" s="166">
        <f>'Capital Cost Estimate'!$AE$456/100</f>
        <v>19588.000000000004</v>
      </c>
      <c r="H106" s="166">
        <f>'Operating Cost Estimate'!$P$61/100</f>
        <v>415800</v>
      </c>
      <c r="I106" s="166"/>
      <c r="J106" s="166">
        <f>('Operating Cost Estimate'!$P$64/115)</f>
        <v>30800</v>
      </c>
      <c r="K106" s="167">
        <f t="shared" si="9"/>
        <v>466188</v>
      </c>
      <c r="L106" s="168">
        <f t="shared" si="10"/>
        <v>8199207.675742796</v>
      </c>
      <c r="M106" s="168">
        <f t="shared" si="11"/>
        <v>65688.6645057151</v>
      </c>
    </row>
    <row r="107" spans="1:13" ht="12">
      <c r="A107" s="165">
        <v>98</v>
      </c>
      <c r="B107" s="166"/>
      <c r="C107" s="166"/>
      <c r="D107" s="166"/>
      <c r="E107" s="166"/>
      <c r="F107" s="166"/>
      <c r="G107" s="166">
        <f>'Capital Cost Estimate'!$AE$456/100</f>
        <v>19588.000000000004</v>
      </c>
      <c r="H107" s="166">
        <f>'Operating Cost Estimate'!$P$61/100</f>
        <v>415800</v>
      </c>
      <c r="I107" s="166"/>
      <c r="J107" s="166">
        <f>('Operating Cost Estimate'!$P$64/115)</f>
        <v>30800</v>
      </c>
      <c r="K107" s="167">
        <f t="shared" si="9"/>
        <v>466188</v>
      </c>
      <c r="L107" s="168">
        <f t="shared" si="10"/>
        <v>8445183.906015078</v>
      </c>
      <c r="M107" s="168">
        <f t="shared" si="11"/>
        <v>64374.8912156008</v>
      </c>
    </row>
    <row r="108" spans="1:13" ht="12">
      <c r="A108" s="165">
        <v>99</v>
      </c>
      <c r="B108" s="166"/>
      <c r="C108" s="166"/>
      <c r="D108" s="166"/>
      <c r="E108" s="166"/>
      <c r="F108" s="166"/>
      <c r="G108" s="166">
        <f>'Capital Cost Estimate'!$AE$456/100</f>
        <v>19588.000000000004</v>
      </c>
      <c r="H108" s="166">
        <f>'Operating Cost Estimate'!$P$61/100</f>
        <v>415800</v>
      </c>
      <c r="I108" s="166"/>
      <c r="J108" s="166">
        <f>('Operating Cost Estimate'!$P$64/115)+('Operating Cost Estimate'!$P$65/27)+('Operating Cost Estimate'!$P$66/27)</f>
        <v>202738.14814814815</v>
      </c>
      <c r="K108" s="167">
        <f t="shared" si="9"/>
        <v>638126.1481481481</v>
      </c>
      <c r="L108" s="168">
        <f t="shared" si="10"/>
        <v>11906710.289922904</v>
      </c>
      <c r="M108" s="168">
        <f t="shared" si="11"/>
        <v>86355.10854309858</v>
      </c>
    </row>
    <row r="109" spans="1:13" ht="12">
      <c r="A109" s="165">
        <v>100</v>
      </c>
      <c r="B109" s="166"/>
      <c r="C109" s="166"/>
      <c r="D109" s="166"/>
      <c r="E109" s="166"/>
      <c r="F109" s="166"/>
      <c r="G109" s="166"/>
      <c r="H109" s="166"/>
      <c r="I109" s="166"/>
      <c r="J109" s="166">
        <f>('Operating Cost Estimate'!$P$64/115)</f>
        <v>30800</v>
      </c>
      <c r="K109" s="167">
        <f t="shared" si="9"/>
        <v>30800</v>
      </c>
      <c r="L109" s="168">
        <f t="shared" si="10"/>
        <v>591933.8650103714</v>
      </c>
      <c r="M109" s="168">
        <f t="shared" si="11"/>
        <v>4084.6823215583845</v>
      </c>
    </row>
    <row r="110" spans="1:13" ht="12">
      <c r="A110" s="165">
        <v>101</v>
      </c>
      <c r="B110" s="166"/>
      <c r="C110" s="166"/>
      <c r="D110" s="166"/>
      <c r="E110" s="166"/>
      <c r="F110" s="166"/>
      <c r="G110" s="166"/>
      <c r="H110" s="166"/>
      <c r="I110" s="166"/>
      <c r="J110" s="166">
        <f>('Operating Cost Estimate'!$P$64/115)</f>
        <v>30800</v>
      </c>
      <c r="K110" s="167">
        <f t="shared" si="9"/>
        <v>30800</v>
      </c>
      <c r="L110" s="168">
        <f t="shared" si="10"/>
        <v>609691.8809606825</v>
      </c>
      <c r="M110" s="168">
        <f t="shared" si="11"/>
        <v>4002.9886751272165</v>
      </c>
    </row>
    <row r="111" spans="1:13" ht="12">
      <c r="A111" s="165">
        <v>102</v>
      </c>
      <c r="B111" s="166"/>
      <c r="C111" s="166"/>
      <c r="D111" s="166"/>
      <c r="E111" s="166"/>
      <c r="F111" s="166"/>
      <c r="G111" s="166"/>
      <c r="H111" s="166"/>
      <c r="I111" s="166"/>
      <c r="J111" s="166">
        <f>('Operating Cost Estimate'!$P$64/115)</f>
        <v>30800</v>
      </c>
      <c r="K111" s="167">
        <f t="shared" si="9"/>
        <v>30800</v>
      </c>
      <c r="L111" s="168">
        <f t="shared" si="10"/>
        <v>627982.637389503</v>
      </c>
      <c r="M111" s="168">
        <f t="shared" si="11"/>
        <v>3922.9289016246726</v>
      </c>
    </row>
    <row r="112" spans="1:13" ht="12">
      <c r="A112" s="165">
        <v>103</v>
      </c>
      <c r="B112" s="166"/>
      <c r="C112" s="166"/>
      <c r="D112" s="166"/>
      <c r="E112" s="166"/>
      <c r="F112" s="166"/>
      <c r="G112" s="166"/>
      <c r="H112" s="166"/>
      <c r="I112" s="166"/>
      <c r="J112" s="166">
        <f>('Operating Cost Estimate'!$P$64/115)</f>
        <v>30800</v>
      </c>
      <c r="K112" s="167">
        <f t="shared" si="9"/>
        <v>30800</v>
      </c>
      <c r="L112" s="168">
        <f t="shared" si="10"/>
        <v>646822.1165111881</v>
      </c>
      <c r="M112" s="168">
        <f t="shared" si="11"/>
        <v>3844.4703235921793</v>
      </c>
    </row>
    <row r="113" spans="1:13" ht="12">
      <c r="A113" s="165">
        <v>104</v>
      </c>
      <c r="B113" s="166"/>
      <c r="C113" s="166"/>
      <c r="D113" s="166"/>
      <c r="E113" s="166"/>
      <c r="F113" s="166"/>
      <c r="G113" s="166"/>
      <c r="H113" s="166"/>
      <c r="I113" s="166"/>
      <c r="J113" s="166">
        <f>('Operating Cost Estimate'!$P$64/115)+('Operating Cost Estimate'!$P$65/27)+('Operating Cost Estimate'!$P$66/27)</f>
        <v>202738.14814814815</v>
      </c>
      <c r="K113" s="167">
        <f t="shared" si="2"/>
        <v>202738.14814814815</v>
      </c>
      <c r="L113" s="168">
        <f t="shared" si="0"/>
        <v>4385376.091728127</v>
      </c>
      <c r="M113" s="168">
        <f t="shared" si="1"/>
        <v>24799.752536859687</v>
      </c>
    </row>
    <row r="114" spans="1:13" ht="12">
      <c r="A114" s="165">
        <v>105</v>
      </c>
      <c r="B114" s="166"/>
      <c r="C114" s="166"/>
      <c r="D114" s="166"/>
      <c r="E114" s="166"/>
      <c r="F114" s="166"/>
      <c r="G114" s="166"/>
      <c r="H114" s="166"/>
      <c r="I114" s="166"/>
      <c r="J114" s="166">
        <f>('Operating Cost Estimate'!$P$64/115)</f>
        <v>30800</v>
      </c>
      <c r="K114" s="167">
        <f t="shared" si="2"/>
        <v>30800</v>
      </c>
      <c r="L114" s="168">
        <f t="shared" si="0"/>
        <v>686213.5834067195</v>
      </c>
      <c r="M114" s="168">
        <f t="shared" si="1"/>
        <v>3692.2292987779288</v>
      </c>
    </row>
    <row r="115" spans="1:13" ht="12">
      <c r="A115" s="165">
        <v>106</v>
      </c>
      <c r="B115" s="166"/>
      <c r="C115" s="166"/>
      <c r="D115" s="166"/>
      <c r="E115" s="166"/>
      <c r="F115" s="166"/>
      <c r="G115" s="166"/>
      <c r="H115" s="166"/>
      <c r="I115" s="166"/>
      <c r="J115" s="166">
        <f>('Operating Cost Estimate'!$P$64/115)</f>
        <v>30800</v>
      </c>
      <c r="K115" s="167">
        <f t="shared" si="2"/>
        <v>30800</v>
      </c>
      <c r="L115" s="168">
        <f t="shared" si="0"/>
        <v>706799.9909089211</v>
      </c>
      <c r="M115" s="168">
        <f t="shared" si="1"/>
        <v>3618.38471280237</v>
      </c>
    </row>
    <row r="116" spans="1:13" ht="12">
      <c r="A116" s="165">
        <v>107</v>
      </c>
      <c r="B116" s="166"/>
      <c r="C116" s="166"/>
      <c r="D116" s="166"/>
      <c r="E116" s="166"/>
      <c r="F116" s="166"/>
      <c r="G116" s="166"/>
      <c r="H116" s="166"/>
      <c r="I116" s="166"/>
      <c r="J116" s="166">
        <f>('Operating Cost Estimate'!$P$64/115)</f>
        <v>30800</v>
      </c>
      <c r="K116" s="167">
        <f t="shared" si="2"/>
        <v>30800</v>
      </c>
      <c r="L116" s="168">
        <f t="shared" si="0"/>
        <v>728003.9906361887</v>
      </c>
      <c r="M116" s="168">
        <f t="shared" si="1"/>
        <v>3546.0170185463226</v>
      </c>
    </row>
    <row r="117" spans="1:13" ht="12">
      <c r="A117" s="165">
        <v>108</v>
      </c>
      <c r="B117" s="166"/>
      <c r="C117" s="166"/>
      <c r="D117" s="166"/>
      <c r="E117" s="166"/>
      <c r="F117" s="166"/>
      <c r="G117" s="166"/>
      <c r="H117" s="166"/>
      <c r="I117" s="166"/>
      <c r="J117" s="166">
        <f>('Operating Cost Estimate'!$P$64/115)</f>
        <v>30800</v>
      </c>
      <c r="K117" s="167">
        <f t="shared" si="2"/>
        <v>30800</v>
      </c>
      <c r="L117" s="168">
        <f t="shared" si="0"/>
        <v>749844.1103552742</v>
      </c>
      <c r="M117" s="168">
        <f t="shared" si="1"/>
        <v>3475.096678175396</v>
      </c>
    </row>
    <row r="118" spans="1:13" ht="12">
      <c r="A118" s="165">
        <v>109</v>
      </c>
      <c r="B118" s="166"/>
      <c r="C118" s="166"/>
      <c r="D118" s="166"/>
      <c r="E118" s="166"/>
      <c r="F118" s="166"/>
      <c r="G118" s="166"/>
      <c r="H118" s="166"/>
      <c r="I118" s="166"/>
      <c r="J118" s="166">
        <f>('Operating Cost Estimate'!$P$64/115)+('Operating Cost Estimate'!$P$65/27)+('Operating Cost Estimate'!$P$66/27)</f>
        <v>202738.14814814815</v>
      </c>
      <c r="K118" s="167">
        <f t="shared" si="2"/>
        <v>202738.14814814815</v>
      </c>
      <c r="L118" s="168">
        <f t="shared" si="0"/>
        <v>5083852.809195476</v>
      </c>
      <c r="M118" s="168">
        <f t="shared" si="1"/>
        <v>22417.012073561025</v>
      </c>
    </row>
    <row r="119" spans="1:13" ht="12">
      <c r="A119" s="165">
        <v>110</v>
      </c>
      <c r="B119" s="166"/>
      <c r="C119" s="166"/>
      <c r="D119" s="166"/>
      <c r="E119" s="166"/>
      <c r="F119" s="166"/>
      <c r="G119" s="166"/>
      <c r="H119" s="166"/>
      <c r="I119" s="166"/>
      <c r="J119" s="166">
        <f>('Operating Cost Estimate'!$P$64/115)</f>
        <v>30800</v>
      </c>
      <c r="K119" s="167">
        <f t="shared" si="2"/>
        <v>30800</v>
      </c>
      <c r="L119" s="168">
        <f t="shared" si="0"/>
        <v>795509.6166759104</v>
      </c>
      <c r="M119" s="168">
        <f t="shared" si="1"/>
        <v>3337.48284971965</v>
      </c>
    </row>
    <row r="120" spans="1:13" ht="12">
      <c r="A120" s="165">
        <v>111</v>
      </c>
      <c r="B120" s="166"/>
      <c r="C120" s="166"/>
      <c r="D120" s="166"/>
      <c r="E120" s="166"/>
      <c r="F120" s="166"/>
      <c r="G120" s="166"/>
      <c r="H120" s="166"/>
      <c r="I120" s="166"/>
      <c r="J120" s="166">
        <f>('Operating Cost Estimate'!$P$64/115)</f>
        <v>30800</v>
      </c>
      <c r="K120" s="167">
        <f t="shared" si="2"/>
        <v>30800</v>
      </c>
      <c r="L120" s="168">
        <f t="shared" si="0"/>
        <v>819374.9051761879</v>
      </c>
      <c r="M120" s="168">
        <f t="shared" si="1"/>
        <v>3270.7331927252567</v>
      </c>
    </row>
    <row r="121" spans="1:13" ht="12">
      <c r="A121" s="165">
        <v>112</v>
      </c>
      <c r="B121" s="166"/>
      <c r="C121" s="166"/>
      <c r="D121" s="166"/>
      <c r="E121" s="166"/>
      <c r="F121" s="166"/>
      <c r="G121" s="166"/>
      <c r="H121" s="166"/>
      <c r="I121" s="166"/>
      <c r="J121" s="166">
        <f>('Operating Cost Estimate'!$P$64/115)</f>
        <v>30800</v>
      </c>
      <c r="K121" s="167">
        <f t="shared" si="2"/>
        <v>30800</v>
      </c>
      <c r="L121" s="168">
        <f t="shared" si="0"/>
        <v>843956.1523314734</v>
      </c>
      <c r="M121" s="168">
        <f t="shared" si="1"/>
        <v>3205.3185288707514</v>
      </c>
    </row>
    <row r="122" spans="1:13" ht="12">
      <c r="A122" s="165">
        <v>113</v>
      </c>
      <c r="B122" s="166"/>
      <c r="C122" s="166"/>
      <c r="D122" s="166"/>
      <c r="E122" s="166"/>
      <c r="F122" s="166"/>
      <c r="G122" s="166"/>
      <c r="H122" s="166"/>
      <c r="I122" s="166"/>
      <c r="J122" s="166">
        <f>('Operating Cost Estimate'!$P$64/115)</f>
        <v>30800</v>
      </c>
      <c r="K122" s="167">
        <f t="shared" si="2"/>
        <v>30800</v>
      </c>
      <c r="L122" s="168">
        <f t="shared" si="0"/>
        <v>869274.8369014175</v>
      </c>
      <c r="M122" s="168">
        <f t="shared" si="1"/>
        <v>3141.212158293337</v>
      </c>
    </row>
    <row r="123" spans="1:13" ht="12">
      <c r="A123" s="165">
        <v>114</v>
      </c>
      <c r="B123" s="166"/>
      <c r="C123" s="166"/>
      <c r="D123" s="166"/>
      <c r="E123" s="166"/>
      <c r="F123" s="166"/>
      <c r="G123" s="166"/>
      <c r="H123" s="166"/>
      <c r="I123" s="166"/>
      <c r="J123" s="166">
        <f>('Operating Cost Estimate'!$P$64/115)+('Operating Cost Estimate'!$P$65/27)+('Operating Cost Estimate'!$P$66/27)</f>
        <v>202738.14814814815</v>
      </c>
      <c r="K123" s="167">
        <f>SUM(B123:J123)</f>
        <v>202738.14814814815</v>
      </c>
      <c r="L123" s="168">
        <f>($K123*((1+L$8)^A123))</f>
        <v>5893578.759257539</v>
      </c>
      <c r="M123" s="168">
        <f>K123*((1+L$8-M$8)^A123)</f>
        <v>20263.2034154085</v>
      </c>
    </row>
    <row r="124" spans="1:13" ht="12">
      <c r="A124" s="163" t="s">
        <v>97</v>
      </c>
      <c r="B124" s="164">
        <f aca="true" t="shared" si="12" ref="B124:M124">SUM(B9:B123)</f>
        <v>488870.00000000006</v>
      </c>
      <c r="C124" s="164">
        <f t="shared" si="12"/>
        <v>234967.35600000003</v>
      </c>
      <c r="D124" s="164">
        <f t="shared" si="12"/>
        <v>448200</v>
      </c>
      <c r="E124" s="164">
        <f t="shared" si="12"/>
        <v>2226908.924</v>
      </c>
      <c r="F124" s="164">
        <f t="shared" si="12"/>
        <v>0</v>
      </c>
      <c r="G124" s="164">
        <f t="shared" si="12"/>
        <v>1958800.0000000002</v>
      </c>
      <c r="H124" s="164">
        <f t="shared" si="12"/>
        <v>46241000</v>
      </c>
      <c r="I124" s="164">
        <f t="shared" si="12"/>
        <v>0</v>
      </c>
      <c r="J124" s="164">
        <f t="shared" si="12"/>
        <v>8184330.000000003</v>
      </c>
      <c r="K124" s="164">
        <f t="shared" si="12"/>
        <v>59783076.280000016</v>
      </c>
      <c r="L124" s="164">
        <f t="shared" si="12"/>
        <v>342304423.9053411</v>
      </c>
      <c r="M124" s="164">
        <f t="shared" si="12"/>
        <v>29077730.21793747</v>
      </c>
    </row>
    <row r="126" spans="2:13" ht="12">
      <c r="B126" s="152"/>
      <c r="C126" s="152"/>
      <c r="D126" s="152"/>
      <c r="E126" s="152"/>
      <c r="F126" s="152"/>
      <c r="G126" s="152"/>
      <c r="H126" s="152"/>
      <c r="I126" s="152"/>
      <c r="J126" s="152"/>
      <c r="K126" s="152"/>
      <c r="M126" s="153"/>
    </row>
    <row r="127" spans="1:11" ht="12">
      <c r="A127" s="152"/>
      <c r="B127" s="152"/>
      <c r="C127" s="152"/>
      <c r="D127" s="152"/>
      <c r="E127" s="152"/>
      <c r="F127" s="152"/>
      <c r="G127" s="152"/>
      <c r="H127" s="152"/>
      <c r="I127" s="152"/>
      <c r="J127" s="152"/>
      <c r="K127" s="152"/>
    </row>
    <row r="128" spans="1:11" ht="12">
      <c r="A128" s="152"/>
      <c r="B128" s="152"/>
      <c r="C128" s="152"/>
      <c r="D128" s="152"/>
      <c r="E128" s="152"/>
      <c r="F128" s="152"/>
      <c r="G128" s="152"/>
      <c r="H128" s="152"/>
      <c r="I128" s="152"/>
      <c r="J128" s="152"/>
      <c r="K128" s="154"/>
    </row>
    <row r="129" spans="1:11" ht="12">
      <c r="A129" s="169"/>
      <c r="B129" s="152"/>
      <c r="C129" s="152"/>
      <c r="D129" s="152"/>
      <c r="E129" s="152"/>
      <c r="F129" s="152"/>
      <c r="G129" s="152"/>
      <c r="H129" s="152"/>
      <c r="I129" s="152"/>
      <c r="J129" s="152"/>
      <c r="K129" s="152"/>
    </row>
    <row r="130" spans="1:11" ht="12">
      <c r="A130" s="152"/>
      <c r="B130" s="152"/>
      <c r="C130" s="152"/>
      <c r="D130" s="152"/>
      <c r="E130" s="152"/>
      <c r="F130" s="152"/>
      <c r="G130" s="152"/>
      <c r="H130" s="152"/>
      <c r="I130" s="152"/>
      <c r="J130" s="152"/>
      <c r="K130" s="152"/>
    </row>
    <row r="131" spans="1:11" ht="12">
      <c r="A131" s="152"/>
      <c r="B131" s="152"/>
      <c r="C131" s="152"/>
      <c r="D131" s="152"/>
      <c r="E131" s="152"/>
      <c r="F131" s="152"/>
      <c r="G131" s="152"/>
      <c r="H131" s="152"/>
      <c r="I131" s="152"/>
      <c r="J131" s="152"/>
      <c r="K131" s="152"/>
    </row>
    <row r="132" spans="1:11" ht="12">
      <c r="A132" s="152"/>
      <c r="B132" s="152"/>
      <c r="C132" s="152"/>
      <c r="D132" s="152"/>
      <c r="E132" s="152"/>
      <c r="F132" s="152"/>
      <c r="G132" s="152"/>
      <c r="H132" s="152"/>
      <c r="I132" s="152"/>
      <c r="J132" s="152"/>
      <c r="K132" s="152"/>
    </row>
    <row r="133" spans="1:11" ht="12">
      <c r="A133" s="152"/>
      <c r="B133" s="152"/>
      <c r="C133" s="152"/>
      <c r="D133" s="152"/>
      <c r="E133" s="152"/>
      <c r="F133" s="152"/>
      <c r="G133" s="152"/>
      <c r="H133" s="152"/>
      <c r="I133" s="152"/>
      <c r="J133" s="152"/>
      <c r="K133" s="152"/>
    </row>
    <row r="134" spans="1:11" ht="12">
      <c r="A134" s="152"/>
      <c r="B134" s="152"/>
      <c r="C134" s="152"/>
      <c r="D134" s="152"/>
      <c r="E134" s="152"/>
      <c r="F134" s="152"/>
      <c r="G134" s="152"/>
      <c r="H134" s="152"/>
      <c r="I134" s="152"/>
      <c r="J134" s="152"/>
      <c r="K134" s="152"/>
    </row>
    <row r="135" spans="1:11" ht="12">
      <c r="A135" s="152"/>
      <c r="B135" s="152"/>
      <c r="C135" s="152"/>
      <c r="D135" s="152"/>
      <c r="E135" s="152"/>
      <c r="F135" s="152"/>
      <c r="G135" s="152"/>
      <c r="H135" s="152"/>
      <c r="I135" s="152"/>
      <c r="J135" s="152"/>
      <c r="K135" s="152"/>
    </row>
    <row r="136" spans="1:11" ht="12">
      <c r="A136" s="152"/>
      <c r="B136" s="152"/>
      <c r="C136" s="152"/>
      <c r="D136" s="152"/>
      <c r="E136" s="152"/>
      <c r="F136" s="152"/>
      <c r="G136" s="152"/>
      <c r="H136" s="152"/>
      <c r="I136" s="152"/>
      <c r="J136" s="152"/>
      <c r="K136" s="152"/>
    </row>
    <row r="137" spans="1:11" ht="12">
      <c r="A137" s="152"/>
      <c r="B137" s="152"/>
      <c r="C137" s="152"/>
      <c r="D137" s="152"/>
      <c r="E137" s="152"/>
      <c r="F137" s="152"/>
      <c r="G137" s="152"/>
      <c r="H137" s="152"/>
      <c r="I137" s="152"/>
      <c r="J137" s="152"/>
      <c r="K137" s="152"/>
    </row>
    <row r="138" spans="1:11" ht="12">
      <c r="A138" s="152"/>
      <c r="B138" s="152"/>
      <c r="C138" s="152"/>
      <c r="D138" s="152"/>
      <c r="E138" s="152"/>
      <c r="F138" s="152"/>
      <c r="G138" s="152"/>
      <c r="H138" s="152"/>
      <c r="I138" s="152"/>
      <c r="J138" s="152"/>
      <c r="K138" s="152"/>
    </row>
    <row r="139" spans="1:11" ht="12">
      <c r="A139" s="152"/>
      <c r="B139" s="152"/>
      <c r="C139" s="152"/>
      <c r="D139" s="152"/>
      <c r="E139" s="152"/>
      <c r="F139" s="152"/>
      <c r="G139" s="152"/>
      <c r="H139" s="152"/>
      <c r="I139" s="152"/>
      <c r="J139" s="152"/>
      <c r="K139" s="152"/>
    </row>
    <row r="140" spans="1:11" ht="12">
      <c r="A140" s="152"/>
      <c r="B140" s="152"/>
      <c r="C140" s="152"/>
      <c r="D140" s="152"/>
      <c r="E140" s="152"/>
      <c r="F140" s="152"/>
      <c r="G140" s="152"/>
      <c r="H140" s="152"/>
      <c r="I140" s="152"/>
      <c r="J140" s="152"/>
      <c r="K140" s="152"/>
    </row>
    <row r="141" spans="1:11" ht="12">
      <c r="A141" s="152"/>
      <c r="B141" s="152"/>
      <c r="C141" s="152"/>
      <c r="D141" s="152"/>
      <c r="E141" s="152"/>
      <c r="F141" s="152"/>
      <c r="G141" s="152"/>
      <c r="H141" s="152"/>
      <c r="I141" s="152"/>
      <c r="J141" s="152"/>
      <c r="K141" s="152"/>
    </row>
    <row r="142" spans="1:11" ht="12">
      <c r="A142" s="152"/>
      <c r="B142" s="152"/>
      <c r="C142" s="152"/>
      <c r="D142" s="152"/>
      <c r="E142" s="152"/>
      <c r="F142" s="152"/>
      <c r="G142" s="152"/>
      <c r="H142" s="152"/>
      <c r="I142" s="152"/>
      <c r="J142" s="152"/>
      <c r="K142" s="152"/>
    </row>
    <row r="143" spans="1:11" ht="12">
      <c r="A143" s="152"/>
      <c r="B143" s="152"/>
      <c r="C143" s="152"/>
      <c r="D143" s="152"/>
      <c r="E143" s="152"/>
      <c r="F143" s="152"/>
      <c r="G143" s="152"/>
      <c r="H143" s="152"/>
      <c r="I143" s="152"/>
      <c r="J143" s="152"/>
      <c r="K143" s="152"/>
    </row>
    <row r="144" spans="1:11" ht="12">
      <c r="A144" s="152"/>
      <c r="B144" s="152"/>
      <c r="C144" s="152"/>
      <c r="D144" s="152"/>
      <c r="E144" s="152"/>
      <c r="F144" s="152"/>
      <c r="G144" s="152"/>
      <c r="H144" s="152"/>
      <c r="I144" s="152"/>
      <c r="J144" s="152"/>
      <c r="K144" s="152"/>
    </row>
    <row r="145" spans="1:11" ht="12">
      <c r="A145" s="152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</row>
    <row r="146" spans="1:11" ht="12">
      <c r="A146" s="152"/>
      <c r="B146" s="152"/>
      <c r="C146" s="152"/>
      <c r="D146" s="152"/>
      <c r="E146" s="152"/>
      <c r="F146" s="152"/>
      <c r="G146" s="152"/>
      <c r="H146" s="152"/>
      <c r="I146" s="152"/>
      <c r="J146" s="152"/>
      <c r="K146" s="154"/>
    </row>
    <row r="147" spans="1:11" ht="12">
      <c r="A147" s="152"/>
      <c r="B147" s="152"/>
      <c r="C147" s="152"/>
      <c r="D147" s="152"/>
      <c r="E147" s="152"/>
      <c r="F147" s="152"/>
      <c r="G147" s="152"/>
      <c r="H147" s="152"/>
      <c r="I147" s="152"/>
      <c r="J147" s="152"/>
      <c r="K147" s="154"/>
    </row>
    <row r="148" spans="1:11" ht="12">
      <c r="A148" s="152"/>
      <c r="B148" s="152"/>
      <c r="C148" s="152"/>
      <c r="D148" s="152"/>
      <c r="E148" s="152"/>
      <c r="F148" s="152"/>
      <c r="G148" s="152"/>
      <c r="H148" s="152"/>
      <c r="I148" s="152"/>
      <c r="J148" s="152"/>
      <c r="K148" s="154"/>
    </row>
    <row r="149" spans="1:11" ht="12">
      <c r="A149" s="152"/>
      <c r="B149" s="152"/>
      <c r="C149" s="152"/>
      <c r="D149" s="152"/>
      <c r="E149" s="152"/>
      <c r="F149" s="152"/>
      <c r="G149" s="152"/>
      <c r="H149" s="152"/>
      <c r="I149" s="152"/>
      <c r="J149" s="152"/>
      <c r="K149" s="152"/>
    </row>
    <row r="150" spans="1:11" ht="12">
      <c r="A150" s="152"/>
      <c r="B150" s="152"/>
      <c r="C150" s="152"/>
      <c r="D150" s="152"/>
      <c r="E150" s="152"/>
      <c r="F150" s="152"/>
      <c r="G150" s="152"/>
      <c r="H150" s="152"/>
      <c r="I150" s="152"/>
      <c r="J150" s="152"/>
      <c r="K150" s="152"/>
    </row>
    <row r="151" spans="1:11" ht="12">
      <c r="A151" s="152"/>
      <c r="B151" s="152"/>
      <c r="C151" s="152"/>
      <c r="D151" s="152"/>
      <c r="E151" s="152"/>
      <c r="F151" s="152"/>
      <c r="G151" s="152"/>
      <c r="H151" s="152"/>
      <c r="I151" s="152"/>
      <c r="J151" s="152"/>
      <c r="K151" s="154"/>
    </row>
    <row r="152" spans="1:11" ht="12">
      <c r="A152" s="152"/>
      <c r="B152" s="152"/>
      <c r="C152" s="152"/>
      <c r="D152" s="152"/>
      <c r="E152" s="152"/>
      <c r="F152" s="152"/>
      <c r="G152" s="152"/>
      <c r="H152" s="152"/>
      <c r="I152" s="152"/>
      <c r="J152" s="152"/>
      <c r="K152" s="154"/>
    </row>
    <row r="153" spans="1:11" ht="12">
      <c r="A153" s="152"/>
      <c r="B153" s="152"/>
      <c r="C153" s="152"/>
      <c r="D153" s="152"/>
      <c r="E153" s="152"/>
      <c r="F153" s="152"/>
      <c r="G153" s="152"/>
      <c r="H153" s="152"/>
      <c r="I153" s="152"/>
      <c r="J153" s="152"/>
      <c r="K153" s="154"/>
    </row>
    <row r="154" spans="1:11" ht="12">
      <c r="A154" s="152"/>
      <c r="B154" s="152"/>
      <c r="C154" s="152"/>
      <c r="D154" s="152"/>
      <c r="E154" s="152"/>
      <c r="F154" s="152"/>
      <c r="G154" s="152"/>
      <c r="H154" s="152"/>
      <c r="I154" s="152"/>
      <c r="J154" s="152"/>
      <c r="K154" s="152"/>
    </row>
    <row r="155" spans="1:11" ht="12">
      <c r="A155" s="152"/>
      <c r="B155" s="152"/>
      <c r="C155" s="152"/>
      <c r="D155" s="152"/>
      <c r="E155" s="152"/>
      <c r="F155" s="152"/>
      <c r="G155" s="152"/>
      <c r="H155" s="152"/>
      <c r="I155" s="152"/>
      <c r="J155" s="152"/>
      <c r="K155" s="152"/>
    </row>
    <row r="156" spans="1:11" ht="12">
      <c r="A156" s="152"/>
      <c r="B156" s="152"/>
      <c r="C156" s="152"/>
      <c r="D156" s="152"/>
      <c r="E156" s="152"/>
      <c r="F156" s="152"/>
      <c r="G156" s="152"/>
      <c r="H156" s="152"/>
      <c r="I156" s="152"/>
      <c r="J156" s="152"/>
      <c r="K156" s="154"/>
    </row>
    <row r="157" spans="1:11" ht="12">
      <c r="A157" s="152"/>
      <c r="B157" s="152"/>
      <c r="C157" s="152"/>
      <c r="D157" s="152"/>
      <c r="E157" s="152"/>
      <c r="F157" s="152"/>
      <c r="G157" s="152"/>
      <c r="H157" s="152"/>
      <c r="I157" s="152"/>
      <c r="J157" s="152"/>
      <c r="K157" s="154"/>
    </row>
    <row r="158" spans="1:11" ht="12">
      <c r="A158" s="152"/>
      <c r="B158" s="152"/>
      <c r="C158" s="152"/>
      <c r="D158" s="152"/>
      <c r="E158" s="152"/>
      <c r="F158" s="152"/>
      <c r="G158" s="152"/>
      <c r="H158" s="152"/>
      <c r="I158" s="152"/>
      <c r="J158" s="152"/>
      <c r="K158" s="154"/>
    </row>
    <row r="165" spans="8:10" ht="12">
      <c r="H165" s="155"/>
      <c r="I165" s="155"/>
      <c r="J165" s="155"/>
    </row>
    <row r="167" ht="4.5" customHeight="1"/>
    <row r="169" ht="4.5" customHeight="1"/>
    <row r="171" ht="4.5" customHeight="1"/>
    <row r="173" ht="4.5" customHeight="1"/>
    <row r="177" ht="4.5" customHeight="1"/>
    <row r="181" ht="4.5" customHeight="1"/>
    <row r="186" ht="12">
      <c r="G186" s="156"/>
    </row>
    <row r="187" ht="12">
      <c r="G187" s="156"/>
    </row>
    <row r="188" ht="12">
      <c r="G188" s="156"/>
    </row>
    <row r="194" ht="4.5" customHeight="1"/>
    <row r="198" ht="4.5" customHeight="1"/>
    <row r="199" spans="2:4" ht="12">
      <c r="B199" s="157"/>
      <c r="C199" s="157"/>
      <c r="D199" s="157"/>
    </row>
  </sheetData>
  <mergeCells count="6">
    <mergeCell ref="H7:J7"/>
    <mergeCell ref="A6:A8"/>
    <mergeCell ref="B3:K3"/>
    <mergeCell ref="B6:J6"/>
    <mergeCell ref="K6:K8"/>
    <mergeCell ref="B7:G7"/>
  </mergeCells>
  <hyperlinks>
    <hyperlink ref="L9" r:id="rId1" display="=@npv(L8,K9)"/>
    <hyperlink ref="M9" r:id="rId2" display="=@npv(L8,K9)"/>
  </hyperlinks>
  <printOptions/>
  <pageMargins left="0.75" right="0.75" top="1" bottom="1" header="0.5" footer="0.5"/>
  <pageSetup fitToHeight="3" fitToWidth="1" horizontalDpi="600" verticalDpi="600" orientation="landscape" scale="76" r:id="rId3"/>
  <headerFooter alignWithMargins="0">
    <oddFooter>&amp;L&amp;"Braggadocio,Regular"CSP&amp;X2&amp;RPage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J. Kuipers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Kuipers</dc:creator>
  <cp:keywords/>
  <dc:description/>
  <cp:lastModifiedBy>David M Chambers</cp:lastModifiedBy>
  <cp:lastPrinted>2004-11-29T21:48:12Z</cp:lastPrinted>
  <dcterms:created xsi:type="dcterms:W3CDTF">2000-04-13T18:49:11Z</dcterms:created>
  <dcterms:modified xsi:type="dcterms:W3CDTF">2004-11-30T00:02:23Z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