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tabRatio="802" activeTab="0"/>
  </bookViews>
  <sheets>
    <sheet name="Capital Cost Estimate" sheetId="1" r:id="rId1"/>
    <sheet name="Capital Cost Assumptions" sheetId="2" r:id="rId2"/>
    <sheet name="Operating Cost Estimate" sheetId="3" r:id="rId3"/>
    <sheet name="Operating Cost Assumptions" sheetId="4" r:id="rId4"/>
    <sheet name="Cash Flow Estimates_PP" sheetId="5" r:id="rId5"/>
    <sheet name="Cash Flow_Scenario 1" sheetId="6" r:id="rId6"/>
    <sheet name="Cash Flow_Scenario 2" sheetId="7" r:id="rId7"/>
    <sheet name="Cash Flow_Scenario 3" sheetId="8" r:id="rId8"/>
    <sheet name="Cash Flow_Scenario 4" sheetId="9" r:id="rId9"/>
  </sheets>
  <definedNames>
    <definedName name="_xlnm.Print_Area" localSheetId="1">'Capital Cost Assumptions'!$A$1:$L$539</definedName>
    <definedName name="_xlnm.Print_Area" localSheetId="0">'Capital Cost Estimate'!$A$1:$AE$586</definedName>
    <definedName name="_xlnm.Print_Area" localSheetId="3">'Operating Cost Assumptions'!$A$1:$L$55</definedName>
    <definedName name="_xlnm.Print_Area" localSheetId="2">'Operating Cost Estimate'!$A$1:$P$70</definedName>
    <definedName name="_xlnm.Print_Titles" localSheetId="1">'Capital Cost Assumptions'!$J:$J,'Capital Cost Assumptions'!$1:$6</definedName>
    <definedName name="_xlnm.Print_Titles" localSheetId="0">'Capital Cost Estimate'!$1:$6</definedName>
    <definedName name="_xlnm.Print_Titles" localSheetId="4">'Cash Flow Estimates_PP'!$1:$8</definedName>
    <definedName name="_xlnm.Print_Titles" localSheetId="7">'Cash Flow_Scenario 3'!$1:$8</definedName>
    <definedName name="_xlnm.Print_Titles" localSheetId="8">'Cash Flow_Scenario 4'!$1:$8</definedName>
  </definedNames>
  <calcPr fullCalcOnLoad="1"/>
</workbook>
</file>

<file path=xl/sharedStrings.xml><?xml version="1.0" encoding="utf-8"?>
<sst xmlns="http://schemas.openxmlformats.org/spreadsheetml/2006/main" count="2905" uniqueCount="651">
  <si>
    <t>Tasks</t>
  </si>
  <si>
    <t>Line</t>
  </si>
  <si>
    <t>Manpower</t>
  </si>
  <si>
    <t>Equipment</t>
  </si>
  <si>
    <t>Materials</t>
  </si>
  <si>
    <t>Total Cost</t>
  </si>
  <si>
    <t>Unit</t>
  </si>
  <si>
    <t>No. Units</t>
  </si>
  <si>
    <t>Unit Cost</t>
  </si>
  <si>
    <t>ac</t>
  </si>
  <si>
    <t>Flat</t>
  </si>
  <si>
    <t>Contour</t>
  </si>
  <si>
    <t>Rip</t>
  </si>
  <si>
    <t>Cover</t>
  </si>
  <si>
    <t>Growth Medium</t>
  </si>
  <si>
    <t>Sloped</t>
  </si>
  <si>
    <t>Earthwork/Recontouring Subtotal</t>
  </si>
  <si>
    <t>Blade</t>
  </si>
  <si>
    <t>Seeding (seed, equipment, labor)</t>
  </si>
  <si>
    <t>Seeding (seed + equipment + labor)</t>
  </si>
  <si>
    <t>Revegetation/Stabilization Subtotal</t>
  </si>
  <si>
    <t>2a</t>
  </si>
  <si>
    <t>2b</t>
  </si>
  <si>
    <t>2c</t>
  </si>
  <si>
    <t>2d</t>
  </si>
  <si>
    <t>2e</t>
  </si>
  <si>
    <t>Install additional stormwater controls</t>
  </si>
  <si>
    <t>Install additional groundwater controls</t>
  </si>
  <si>
    <t>3a</t>
  </si>
  <si>
    <t>3b</t>
  </si>
  <si>
    <t>3c</t>
  </si>
  <si>
    <t>Removal and/or Demolition</t>
  </si>
  <si>
    <t>Miscellaneous</t>
  </si>
  <si>
    <t>Subtotal Miscellaneous</t>
  </si>
  <si>
    <t>Water Treatment Capture, Pump, Treatment and Discharge</t>
  </si>
  <si>
    <t>Interceptor wells</t>
  </si>
  <si>
    <t>Collection and distribution</t>
  </si>
  <si>
    <t>Degritting/equilization ponds</t>
  </si>
  <si>
    <t>Water treatment plant</t>
  </si>
  <si>
    <t>Sludge disposal facilities</t>
  </si>
  <si>
    <t>Effluent disposal facilities</t>
  </si>
  <si>
    <t>Subtotal Water Treatment Capture, Pump, Treatment and Discharge</t>
  </si>
  <si>
    <t>Indirect Costs</t>
  </si>
  <si>
    <t>Contingency</t>
  </si>
  <si>
    <t>Mobilization and demobilization</t>
  </si>
  <si>
    <t>Engineering redesign</t>
  </si>
  <si>
    <t>Engineering, procurement, construction management</t>
  </si>
  <si>
    <t>Contractor Overhead</t>
  </si>
  <si>
    <t>Contractor Profit</t>
  </si>
  <si>
    <t>Agency Administration</t>
  </si>
  <si>
    <t>Sub-Total Indirect Costs</t>
  </si>
  <si>
    <t>2a1</t>
  </si>
  <si>
    <t>2a2</t>
  </si>
  <si>
    <t>3f</t>
  </si>
  <si>
    <t>4a</t>
  </si>
  <si>
    <t>4b</t>
  </si>
  <si>
    <t>4c</t>
  </si>
  <si>
    <t>5a</t>
  </si>
  <si>
    <t>5b</t>
  </si>
  <si>
    <t>5c</t>
  </si>
  <si>
    <t>5d</t>
  </si>
  <si>
    <t>6a</t>
  </si>
  <si>
    <t>6b</t>
  </si>
  <si>
    <t>6c</t>
  </si>
  <si>
    <t>6d</t>
  </si>
  <si>
    <t>6e</t>
  </si>
  <si>
    <t>Interim Water Management and Operations</t>
  </si>
  <si>
    <t>Water Treatment Plant</t>
  </si>
  <si>
    <t>Labor</t>
  </si>
  <si>
    <t>Reagents</t>
  </si>
  <si>
    <t>Maintenance</t>
  </si>
  <si>
    <t>Analytical</t>
  </si>
  <si>
    <t>Electric Power</t>
  </si>
  <si>
    <t>Sub-Total Water Treatment Plant</t>
  </si>
  <si>
    <t>General Site Operation and Maintenance</t>
  </si>
  <si>
    <t>3d</t>
  </si>
  <si>
    <t>Office Expense</t>
  </si>
  <si>
    <t>3e</t>
  </si>
  <si>
    <t>Service Expense</t>
  </si>
  <si>
    <t>Site Security</t>
  </si>
  <si>
    <t>Sub-total General Site Operation and Maintenance</t>
  </si>
  <si>
    <t>Long-Term Operation and Maintenance Expense</t>
  </si>
  <si>
    <t>Surface and Groundwater  Monitoring</t>
  </si>
  <si>
    <t>Reclamation Monitoring</t>
  </si>
  <si>
    <t>Reclamation Maintenance</t>
  </si>
  <si>
    <t>4c1</t>
  </si>
  <si>
    <t>4c2</t>
  </si>
  <si>
    <t>4c3</t>
  </si>
  <si>
    <t>Materials and Supplies</t>
  </si>
  <si>
    <t>Sub-Total Long-Term Operation and Maintenance Expense</t>
  </si>
  <si>
    <t>Water Treatment Plant Capital Replacement</t>
  </si>
  <si>
    <t xml:space="preserve">10 yr @ 25% of Water Treatment Plant Capital Costs </t>
  </si>
  <si>
    <t>20 yr @ 25% of Water Treatment Plant Capital Costs</t>
  </si>
  <si>
    <t>40 yr @ 50% of Water Treatment Plant Capital Costs</t>
  </si>
  <si>
    <t>10yr @ $2,000,000 for water management structures</t>
  </si>
  <si>
    <t>Capital Costs</t>
  </si>
  <si>
    <t>Operating Costs</t>
  </si>
  <si>
    <t>Year</t>
  </si>
  <si>
    <t>Water Treatment</t>
  </si>
  <si>
    <t>Grand Total</t>
  </si>
  <si>
    <t>Total</t>
  </si>
  <si>
    <t>Public Safety</t>
  </si>
  <si>
    <t>Detoxification/Disposal of Wastes</t>
  </si>
  <si>
    <t>Item1</t>
  </si>
  <si>
    <t>Item 2</t>
  </si>
  <si>
    <t>Item 3</t>
  </si>
  <si>
    <t>Item 4</t>
  </si>
  <si>
    <t>Item 5</t>
  </si>
  <si>
    <t>Item 6</t>
  </si>
  <si>
    <t>Facilities, Roads,and Other</t>
  </si>
  <si>
    <t>5e</t>
  </si>
  <si>
    <t>5f</t>
  </si>
  <si>
    <t>5g</t>
  </si>
  <si>
    <t>5h</t>
  </si>
  <si>
    <t>Total Operating Cost</t>
  </si>
  <si>
    <t>Total Capital Cost</t>
  </si>
  <si>
    <t>1a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</si>
  <si>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</si>
  <si>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</si>
  <si>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</si>
  <si>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</si>
  <si>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</si>
  <si>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</si>
  <si>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</si>
  <si>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</si>
  <si>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</si>
  <si>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</si>
  <si>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1a11</t>
  </si>
  <si>
    <t>1a12</t>
  </si>
  <si>
    <t>3d1</t>
  </si>
  <si>
    <t>3d2</t>
  </si>
  <si>
    <t>3d3</t>
  </si>
  <si>
    <t>3d4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</si>
  <si>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</si>
  <si>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</si>
  <si>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</si>
  <si>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</si>
  <si>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</si>
  <si>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</si>
  <si>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</si>
  <si>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</si>
  <si>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</si>
  <si>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2e10</t>
  </si>
  <si>
    <t>2e11</t>
  </si>
  <si>
    <t>2e12</t>
  </si>
  <si>
    <t>2f</t>
  </si>
  <si>
    <t>2f1</t>
  </si>
  <si>
    <t>2f2</t>
  </si>
  <si>
    <t>2f3</t>
  </si>
  <si>
    <t>2f4</t>
  </si>
  <si>
    <t>2f5</t>
  </si>
  <si>
    <t>2f6</t>
  </si>
  <si>
    <t>2f7</t>
  </si>
  <si>
    <t>2f8</t>
  </si>
  <si>
    <t>2f9</t>
  </si>
  <si>
    <t>2f10</t>
  </si>
  <si>
    <t>2f11</t>
  </si>
  <si>
    <t>2f12</t>
  </si>
  <si>
    <t>6f</t>
  </si>
  <si>
    <t>3g</t>
  </si>
  <si>
    <t>3h</t>
  </si>
  <si>
    <t xml:space="preserve">Contingency </t>
  </si>
  <si>
    <t xml:space="preserve">Agency Administration </t>
  </si>
  <si>
    <t>PROJECT CASH FLOW</t>
  </si>
  <si>
    <t>Cost Area</t>
  </si>
  <si>
    <t>Nominal Value</t>
  </si>
  <si>
    <t>Present Value</t>
  </si>
  <si>
    <t>Inflation =</t>
  </si>
  <si>
    <t>Discount =</t>
  </si>
  <si>
    <t>Water Treatment Plant O&amp;M</t>
  </si>
  <si>
    <t>General Site O&amp;M</t>
  </si>
  <si>
    <t>Long-Term O&amp;M</t>
  </si>
  <si>
    <t>Facilities, Roads and Other</t>
  </si>
  <si>
    <t>Total Operating Costs</t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</si>
  <si>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2003 Estimate - Scenario 1</t>
    </r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</si>
  <si>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2003 Estimate - Scenario 2</t>
    </r>
  </si>
  <si>
    <t>CSP2 2003 Estimate - Scenario 2</t>
  </si>
  <si>
    <t>Buildings</t>
  </si>
  <si>
    <t>Foundation</t>
  </si>
  <si>
    <t>Total Capital Reclamation Cost</t>
  </si>
  <si>
    <t>Total Operating Reclamation Cost</t>
  </si>
  <si>
    <t>Facilities, Roads, and Other</t>
  </si>
  <si>
    <t>CSP2 2003 Estimate - Scenario 3</t>
  </si>
  <si>
    <t>CSP2 2003 Estimate - Scenario 4</t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</si>
  <si>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2003 Estimate - Scenario 3</t>
    </r>
  </si>
  <si>
    <r>
      <t>CSP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2003 Estimate - Scenario 4</t>
    </r>
  </si>
  <si>
    <t>Tailings Area Reclamation</t>
  </si>
  <si>
    <t>Subtotal Tailings Area Reclamation</t>
  </si>
  <si>
    <t>1b</t>
  </si>
  <si>
    <t>1c</t>
  </si>
  <si>
    <t>2e13</t>
  </si>
  <si>
    <t>2f13</t>
  </si>
  <si>
    <t>Subtotal Facilities, Roads, and Other</t>
  </si>
  <si>
    <t>30 years</t>
  </si>
  <si>
    <t>Tailings Area</t>
  </si>
  <si>
    <t xml:space="preserve">Inflation </t>
  </si>
  <si>
    <t>Inflation</t>
  </si>
  <si>
    <t>Pogo Project</t>
  </si>
  <si>
    <t>Pogo Project Reclamation Plan December 2002</t>
  </si>
  <si>
    <t>POGO PROJECT RECLAMATION PLAN 2002 - SCENARIO 1</t>
  </si>
  <si>
    <t>POGO PROJECT RECLAMATION PLAN 2002 - SCENARIO 2</t>
  </si>
  <si>
    <t>POGO PROJECT RECLAMATION PLAN 2002 - SCENARIO 3</t>
  </si>
  <si>
    <t>POGO PROJECT RECLAMATION PLAN 2002 - SCENARIO 4</t>
  </si>
  <si>
    <t>POGO PROJECT RECLAMATION PLAN 2002</t>
  </si>
  <si>
    <t>Detailed Reclamation and Closure Bond Cost Estimate - Capital Costs</t>
  </si>
  <si>
    <t>Detailed Reclamation and Closure Bond Cost Estimate - Operating Costs</t>
  </si>
  <si>
    <t>Advance Exploration Distrubance (Phase I)</t>
  </si>
  <si>
    <t>Advance Exploration Distrubance Subtotal</t>
  </si>
  <si>
    <t>lot</t>
  </si>
  <si>
    <t>assumed all terrain flat (detail not provided)</t>
  </si>
  <si>
    <t>includes fuel containment berms (A-03), recountour borrow sources shoreline (A-11), growth media stockpile (A-17)</t>
  </si>
  <si>
    <t>includes borrow sources spread growth media (A-11), 1,200 cy with D6R</t>
  </si>
  <si>
    <t xml:space="preserve">includes borrow sources (A-11) re-seeding </t>
  </si>
  <si>
    <t>cy</t>
  </si>
  <si>
    <t>sy</t>
  </si>
  <si>
    <t>Construction Facilities Near 1525 (Phase I)</t>
  </si>
  <si>
    <t>Construction Facilities Near 1525 Subtotal</t>
  </si>
  <si>
    <t>from Appendix F page 1-2 of 36</t>
  </si>
  <si>
    <t>from Appendix F page 2 of 36</t>
  </si>
  <si>
    <t>Areas Adjacent to Airstrip (Phase I)</t>
  </si>
  <si>
    <t>Areas Adjacent to Airstrip Subtotal</t>
  </si>
  <si>
    <t>includes construction offices and warehouses (I-01), screening plant and concrete batch plant (I-06)</t>
  </si>
  <si>
    <t>assumed att terrain flat</t>
  </si>
  <si>
    <t>includes fuel containment berms (I-05)</t>
  </si>
  <si>
    <t>Off River Treatment (Phase I)</t>
  </si>
  <si>
    <t>Off River Treatment Subtotal</t>
  </si>
  <si>
    <t>from Appendix F page 3 of 36</t>
  </si>
  <si>
    <t>includes removal of all facilities (J-00)</t>
  </si>
  <si>
    <t>Growth Media Stockpile Subtotal</t>
  </si>
  <si>
    <t>Growth Media Stockpiles (Phase I, Water Quality Assurance)</t>
  </si>
  <si>
    <t>from Appendix F, page 3 of 36</t>
  </si>
  <si>
    <t>includes seed and fertilize stockpiles (S-00)</t>
  </si>
  <si>
    <t>Injection Wells</t>
  </si>
  <si>
    <t>from Appendix F page 3 of 36 Phase 2, plug injection wells (A-07)</t>
  </si>
  <si>
    <t>Advance Exploration Distrubance (Phase II)</t>
  </si>
  <si>
    <t>includes explosive storage building (A-15)</t>
  </si>
  <si>
    <t>includes breakup and bury slab (A-15)</t>
  </si>
  <si>
    <t>includes Phase II hazardous chemicals and explosives (A-15, page 4 of 36)</t>
  </si>
  <si>
    <t>includes recountour, terrain, taper gravel pads (A-09), rock piles for road and drystack construction (A-12), liners to solid waste (A-13), remove pads, recontour, taper (A-14)</t>
  </si>
  <si>
    <t>includes growth media for gravel pads (A-09), pads under liners (A-14)</t>
  </si>
  <si>
    <t>includes gravel pads (A-09), pads under liners (A-14)</t>
  </si>
  <si>
    <t>Cap Boreholes</t>
  </si>
  <si>
    <t>from Appendix F, page 4-5 of 36</t>
  </si>
  <si>
    <t>includes cap surface boreholes (R-00)</t>
  </si>
  <si>
    <t>Roads from Advanced Exploration (Phase III)</t>
  </si>
  <si>
    <t>Roads from Advanced Exploration Subtotal</t>
  </si>
  <si>
    <t>from Appendix F, page 5 of 36</t>
  </si>
  <si>
    <t>assumed all terrain flat (no detail provided)</t>
  </si>
  <si>
    <t>includes recontour, terrain, taper roads (A-10)</t>
  </si>
  <si>
    <t>includes re-seeding (A-10)</t>
  </si>
  <si>
    <t>includes growth media application (A-10)</t>
  </si>
  <si>
    <t>Construction Facilities near 1525 (Phase III)</t>
  </si>
  <si>
    <t>Construction Facilities near 1525 Subtotal</t>
  </si>
  <si>
    <t>from Appendix F, page 6 of 36</t>
  </si>
  <si>
    <t>includes PL-329 ST plant (B-02), STP building (B-02), above ground piping (B-02), electrical dissconnects (B-02), haul to solid waste disposal (B-10)</t>
  </si>
  <si>
    <t>includes STP concrete (B-02)</t>
  </si>
  <si>
    <t>includes recontour gravel pads, terrain, taper edges (B-08)</t>
  </si>
  <si>
    <t>includes growth media for gravel pads (B-08)</t>
  </si>
  <si>
    <t>includes re-seeding gravel pads (B-08)</t>
  </si>
  <si>
    <t>1525 Portal (Phase III)</t>
  </si>
  <si>
    <t>1525 Portal Subtotal</t>
  </si>
  <si>
    <t>from Appendix F, page 6-7 of 36</t>
  </si>
  <si>
    <t>includes warehouse (E-03), construction diesel tank (E-06), haul to solid waste disposal (E-20)</t>
  </si>
  <si>
    <t>includes break and bury warehouse slab (E-04)</t>
  </si>
  <si>
    <t>includes fuel containment berms (E-07), recontour, terrain, taper gravel pads (E-15), recontour growth media stockpile (E-17)</t>
  </si>
  <si>
    <t>includes growth media to gravel pads (E-15)</t>
  </si>
  <si>
    <t>includes re-seeding gravel pads (E-15)</t>
  </si>
  <si>
    <t>Underground Mine</t>
  </si>
  <si>
    <t>Subtotal Underground Mine Reclamation</t>
  </si>
  <si>
    <t>3a1</t>
  </si>
  <si>
    <t>3a2</t>
  </si>
  <si>
    <t>Plug Portals</t>
  </si>
  <si>
    <t>Paste Backfill</t>
  </si>
  <si>
    <t>Flood Mine Workings</t>
  </si>
  <si>
    <t>from Appendix F, page 7-8 of 36, Phase III</t>
  </si>
  <si>
    <t>includes paste backfill (F-02)</t>
  </si>
  <si>
    <t>includes seal vent shafts (F-03)</t>
  </si>
  <si>
    <t>includes run 6" pipe (F-10), borehole (F-10)</t>
  </si>
  <si>
    <t>includes structure around portal heater (F-03), mobile equipment (F-04), mine equipment (F-05), mine electrical equipment (F-07), haul mobile equipment (F-09), haul process equipment (F-09), remove pipe (F-10), monitor fill, misc. (F-10)</t>
  </si>
  <si>
    <t>ton</t>
  </si>
  <si>
    <t>lf</t>
  </si>
  <si>
    <t>Airstrip</t>
  </si>
  <si>
    <t>Airstrip Subtotal</t>
  </si>
  <si>
    <t>from Appendix F, page 8-9 of 36</t>
  </si>
  <si>
    <t>includes 1.7 transformer (H-01), navigation markers (H-01), air strip safety and storage (H-01), diesel tank (H-02), fueling system (H-02), diesel pads (H-02), haul to solid waste disposal (H-08)</t>
  </si>
  <si>
    <t>includes fuel containment berms (H-03), cut-off ditches (H-04), erosion protection (H-05), culverts (H-06)</t>
  </si>
  <si>
    <t>Areas Adjacent to Airstrip (Phase III)</t>
  </si>
  <si>
    <t>from Appendix F, page 9 of 36</t>
  </si>
  <si>
    <t>includes haul to Fairbanks (I-10)</t>
  </si>
  <si>
    <t>includes recontour, terrain, taper gravel pads (I-08), borrow sources (I-09)</t>
  </si>
  <si>
    <t>includes re-seeding gravel pads (I-08), borrow sources (I-09)</t>
  </si>
  <si>
    <t>includes growth media for gravel pads (I-08), borrow sources (I-09)</t>
  </si>
  <si>
    <t>Mill, Filter and Paste Backfill Plants (Phase III)</t>
  </si>
  <si>
    <t>Mill, Filter, and Paste Backfill Plants Subtotal</t>
  </si>
  <si>
    <t>from Appendix F, page 9-21 of 36</t>
  </si>
  <si>
    <t>includes all tasks listed under K-10</t>
  </si>
  <si>
    <t>includes all tasks listed under K-03, K-05, K-06, K-07, K-08, K-09, K-17</t>
  </si>
  <si>
    <t>includes stabilize high cut walls (K-01), fill embankments (K-02), fuel containment berms (K-04), recontour, terrain, taper gravel pads (K-12), stormwater pond liner (K-13)</t>
  </si>
  <si>
    <t>includes gravel pads (K-12)</t>
  </si>
  <si>
    <t>includes fill embankments (K-02), gravel pads (K-12)</t>
  </si>
  <si>
    <t>Seal Portal - Concrete Plug</t>
  </si>
  <si>
    <t>1690 Portal (Phase III)</t>
  </si>
  <si>
    <t>1690 Portal Subtotal</t>
  </si>
  <si>
    <t>from Appendix F, pages 22-23 of 36</t>
  </si>
  <si>
    <t>includes CV-002 above ground portion (L-04), piping above ground (L-04), electrical above ground (L-04), cladding conveyor (L-04), transformer materials (L-04), haul to solid waste facility (L-06)</t>
  </si>
  <si>
    <t>includes concrete footings above ground (L-04)</t>
  </si>
  <si>
    <t>includes portal seal opening concrete plug (L-05)</t>
  </si>
  <si>
    <t>includes recontour, terrain, taper gravel pads (L-01), contour roads (L-02), contour culverts (L-03)</t>
  </si>
  <si>
    <t>includes gravel pads (L-01), roads (L-02)</t>
  </si>
  <si>
    <t>includes re-seeding gravel pads (L-01), roads (L-02)</t>
  </si>
  <si>
    <t>Bench: Warehouse, Camp, Offices, Dry and Shop Subtotal</t>
  </si>
  <si>
    <t>includes footings, foundations, pedestals, slab (M-08)</t>
  </si>
  <si>
    <t>includes stabilize high wall cut faces (M-01), stabilize embankments (M-02), fuel containment berms (M-04), gravel pads (M-11)</t>
  </si>
  <si>
    <t>includes gravel pads (M-11)</t>
  </si>
  <si>
    <t>includes high wall cut faces (M-01), embankments (M-02), gravel pads (M-11)</t>
  </si>
  <si>
    <t>from Appendix F page 25 of 36, cap wells (M-14)</t>
  </si>
  <si>
    <t>1835 Portal (Phase III)</t>
  </si>
  <si>
    <t>1835 Portal Subtotal</t>
  </si>
  <si>
    <t>from Appendix F, page 26 of 36</t>
  </si>
  <si>
    <t>includes portal seal with concrete plug (N-04)</t>
  </si>
  <si>
    <t>includes recontour, terrain, taper gravel pads (N-01), roads (N-02), culverts (N-03)</t>
  </si>
  <si>
    <t>includes gravel pads (N-01)</t>
  </si>
  <si>
    <t>includes gravel pads (N-01), roads (N-02)</t>
  </si>
  <si>
    <t>RTP Dam (Phase III)</t>
  </si>
  <si>
    <t>includes haul to solid waste facility (O-06)</t>
  </si>
  <si>
    <t>Drystack Tailings Impoundment (Phase III)</t>
  </si>
  <si>
    <t>Drystack Tailings Impoundment Subtotal</t>
  </si>
  <si>
    <t>from Appendix F, page 27-28 of 36</t>
  </si>
  <si>
    <t>assumed tarrain flat (detail not provided)</t>
  </si>
  <si>
    <t>includes erosion protection sides of drystack (P-06)</t>
  </si>
  <si>
    <t>includes 3" sandy filter (P-02), 12" non mineralized rock cover (P-03)</t>
  </si>
  <si>
    <t>includes 6" growth media (P-01)</t>
  </si>
  <si>
    <t>includes recontour drainage ditches (P-04), energy disapator (P-04), erosion protection ditches (P-05)</t>
  </si>
  <si>
    <t>1525 Portal (Phase IV)</t>
  </si>
  <si>
    <t>from Appendix F, page 28-31 of 36</t>
  </si>
  <si>
    <t>includes facilities listed under E-08, E-09, E-10, E-12, E-19, E-20</t>
  </si>
  <si>
    <t>includes footings, pedestals, beams, walls, slab (E-13)</t>
  </si>
  <si>
    <t>includes portal seal with concrete plug (E-18)</t>
  </si>
  <si>
    <t>includes stabilize high wall cut faces (E-01), fill embankments (E-02), recontour access roads (E-16)</t>
  </si>
  <si>
    <t>includes access roads (E-16)</t>
  </si>
  <si>
    <t>includes high wall cut faces (E-01), fill embankments (E-02), access roads (E-16)</t>
  </si>
  <si>
    <t>On-Site Roads (Phase IV)</t>
  </si>
  <si>
    <t>On-Site Roads Subtotal</t>
  </si>
  <si>
    <t>Remove Bridge and Abutments</t>
  </si>
  <si>
    <t>from Appendix F, page 31-32 of 36</t>
  </si>
  <si>
    <t>includes bridge (G-07), bridge abutments (G-08)</t>
  </si>
  <si>
    <t>includes stabilize high wall cut faces (G-01), fill embankments (G-02), site roads (G-03), cut-off ditches (G-04), erosion protection (G-05), culverts (G-06), quarries (G-09)</t>
  </si>
  <si>
    <t>includes stabilize high wall cut faces (G-01), fill embankments (G-02), site roads (G-03), quarries (G-09)</t>
  </si>
  <si>
    <t>Install additional stormwater controls (Phase III)</t>
  </si>
  <si>
    <t>Bench: Warehouse, Camp, Offices, Dry and Shop (Phase III and IV)</t>
  </si>
  <si>
    <t>includes fuel tanks (M-03), facilities in M-07, facilities in M-09, allowances in M-10, facilities in M-15, haul to solid waste (M-17), closure camp removal (M-07)</t>
  </si>
  <si>
    <t>from Appendix F, page 23-25, 32 of 36</t>
  </si>
  <si>
    <t>from Section 5.3, page 5-2, Table 5-1</t>
  </si>
  <si>
    <t>based on 10% Profit and Overhead</t>
  </si>
  <si>
    <t>RTP Dam (Phase IV)</t>
  </si>
  <si>
    <t>RTP Dam Subtotal</t>
  </si>
  <si>
    <t>from Appendix F, page 33-34 of 36</t>
  </si>
  <si>
    <t>includes inlet structure (O-04)</t>
  </si>
  <si>
    <t>includes stabilize high wall faces (O-01), breech dam, recontour impoundment (O-02), remove RTP liner (O-03)</t>
  </si>
  <si>
    <t>includes impoundment area (O-02)</t>
  </si>
  <si>
    <t>includes high wall cut faces (O-01), impoundment area (O-02)</t>
  </si>
  <si>
    <t>Solid Waste Facility (Phase IV)</t>
  </si>
  <si>
    <t>Solid Waste Facility Subtotal</t>
  </si>
  <si>
    <t>from Appendix F, page 34 of 36</t>
  </si>
  <si>
    <t>includes transformer upper level (Q-04), incinerator (Q-04)</t>
  </si>
  <si>
    <t>includes 6" growth media (Q-01)</t>
  </si>
  <si>
    <t>includes 3' sandy filter (Q-02), 12" non mineralized rock cover (Q-03)</t>
  </si>
  <si>
    <t>includes reseeding @ 5% of total (1258000 sy)</t>
  </si>
  <si>
    <t>includes winter road demobilization (phase V T-00), page 36 of 36</t>
  </si>
  <si>
    <t>1b1</t>
  </si>
  <si>
    <t>1c1</t>
  </si>
  <si>
    <t>1c2</t>
  </si>
  <si>
    <t>1c3</t>
  </si>
  <si>
    <t>1c4</t>
  </si>
  <si>
    <t>1c5</t>
  </si>
  <si>
    <t>1c6</t>
  </si>
  <si>
    <t>1c7</t>
  </si>
  <si>
    <t>1c8</t>
  </si>
  <si>
    <t>1c9</t>
  </si>
  <si>
    <t>1c10</t>
  </si>
  <si>
    <t>1c11</t>
  </si>
  <si>
    <t>1c12</t>
  </si>
  <si>
    <t>1c13</t>
  </si>
  <si>
    <t>1c14</t>
  </si>
  <si>
    <t>1d</t>
  </si>
  <si>
    <t>1d1</t>
  </si>
  <si>
    <t>1d2</t>
  </si>
  <si>
    <t>1d3</t>
  </si>
  <si>
    <t>1d4</t>
  </si>
  <si>
    <t>1d5</t>
  </si>
  <si>
    <t>1d6</t>
  </si>
  <si>
    <t>1d7</t>
  </si>
  <si>
    <t>1d8</t>
  </si>
  <si>
    <t>1d9</t>
  </si>
  <si>
    <t>1d10</t>
  </si>
  <si>
    <t>1d11</t>
  </si>
  <si>
    <t>1d12</t>
  </si>
  <si>
    <t>1d13</t>
  </si>
  <si>
    <t>1d14</t>
  </si>
  <si>
    <t>1e</t>
  </si>
  <si>
    <t>1f</t>
  </si>
  <si>
    <t>2e14</t>
  </si>
  <si>
    <t>2e15</t>
  </si>
  <si>
    <t>2f14</t>
  </si>
  <si>
    <t>2f15</t>
  </si>
  <si>
    <t>2g</t>
  </si>
  <si>
    <t>2g1</t>
  </si>
  <si>
    <t>2g2</t>
  </si>
  <si>
    <t>2g3</t>
  </si>
  <si>
    <t>2g4</t>
  </si>
  <si>
    <t>2g5</t>
  </si>
  <si>
    <t>2g6</t>
  </si>
  <si>
    <t>2g7</t>
  </si>
  <si>
    <t>2g8</t>
  </si>
  <si>
    <t>2g9</t>
  </si>
  <si>
    <t>2g10</t>
  </si>
  <si>
    <t>2g11</t>
  </si>
  <si>
    <t>2g12</t>
  </si>
  <si>
    <t>2g13</t>
  </si>
  <si>
    <t>2g14</t>
  </si>
  <si>
    <t>2g15</t>
  </si>
  <si>
    <t>3a3</t>
  </si>
  <si>
    <t>3a4</t>
  </si>
  <si>
    <t>3a5</t>
  </si>
  <si>
    <t>3a6</t>
  </si>
  <si>
    <t>3a7</t>
  </si>
  <si>
    <t>3a8</t>
  </si>
  <si>
    <t>3a9</t>
  </si>
  <si>
    <t>3a10</t>
  </si>
  <si>
    <t>3a11</t>
  </si>
  <si>
    <t>3a12</t>
  </si>
  <si>
    <t>3b1</t>
  </si>
  <si>
    <t>3b2</t>
  </si>
  <si>
    <t>3b3</t>
  </si>
  <si>
    <t>3b4</t>
  </si>
  <si>
    <t>3b5</t>
  </si>
  <si>
    <t>3b6</t>
  </si>
  <si>
    <t>3b7</t>
  </si>
  <si>
    <t>3b8</t>
  </si>
  <si>
    <t>3b9</t>
  </si>
  <si>
    <t>3b10</t>
  </si>
  <si>
    <t>3b11</t>
  </si>
  <si>
    <t>3b12</t>
  </si>
  <si>
    <t>3b13</t>
  </si>
  <si>
    <t>3b14</t>
  </si>
  <si>
    <t>3c1</t>
  </si>
  <si>
    <t>3c2</t>
  </si>
  <si>
    <t>3c3</t>
  </si>
  <si>
    <t>3c4</t>
  </si>
  <si>
    <t>3c5</t>
  </si>
  <si>
    <t>3c6</t>
  </si>
  <si>
    <t>3c7</t>
  </si>
  <si>
    <t>3c8</t>
  </si>
  <si>
    <t>3c9</t>
  </si>
  <si>
    <t>3c10</t>
  </si>
  <si>
    <t>3c11</t>
  </si>
  <si>
    <t>3c12</t>
  </si>
  <si>
    <t>3c13</t>
  </si>
  <si>
    <t>3d5</t>
  </si>
  <si>
    <t>3d6</t>
  </si>
  <si>
    <t>3d7</t>
  </si>
  <si>
    <t>3d8</t>
  </si>
  <si>
    <t>3d9</t>
  </si>
  <si>
    <t>3d10</t>
  </si>
  <si>
    <t>3d11</t>
  </si>
  <si>
    <t>3d12</t>
  </si>
  <si>
    <t>3d13</t>
  </si>
  <si>
    <t>3d14</t>
  </si>
  <si>
    <t>3e1</t>
  </si>
  <si>
    <t>3e2</t>
  </si>
  <si>
    <t>3e3</t>
  </si>
  <si>
    <t>3e4</t>
  </si>
  <si>
    <t>3e5</t>
  </si>
  <si>
    <t>3e6</t>
  </si>
  <si>
    <t>3e7</t>
  </si>
  <si>
    <t>3e8</t>
  </si>
  <si>
    <t>3e9</t>
  </si>
  <si>
    <t>3e10</t>
  </si>
  <si>
    <t>3e11</t>
  </si>
  <si>
    <t>3e12</t>
  </si>
  <si>
    <t>3e14</t>
  </si>
  <si>
    <t>3f1</t>
  </si>
  <si>
    <t>3f2</t>
  </si>
  <si>
    <t>3f3</t>
  </si>
  <si>
    <t>3f4</t>
  </si>
  <si>
    <t>3f5</t>
  </si>
  <si>
    <t>3f6</t>
  </si>
  <si>
    <t>3f7</t>
  </si>
  <si>
    <t>3f8</t>
  </si>
  <si>
    <t>3f9</t>
  </si>
  <si>
    <t>3f10</t>
  </si>
  <si>
    <t>3f11</t>
  </si>
  <si>
    <t>3f12</t>
  </si>
  <si>
    <t>3f13</t>
  </si>
  <si>
    <t>3f14</t>
  </si>
  <si>
    <t>3g1</t>
  </si>
  <si>
    <t>3g2</t>
  </si>
  <si>
    <t>3g3</t>
  </si>
  <si>
    <t>3g4</t>
  </si>
  <si>
    <t>3g5</t>
  </si>
  <si>
    <t>3g6</t>
  </si>
  <si>
    <t>3g7</t>
  </si>
  <si>
    <t>3g8</t>
  </si>
  <si>
    <t>3g9</t>
  </si>
  <si>
    <t>3g10</t>
  </si>
  <si>
    <t>3g11</t>
  </si>
  <si>
    <t>3g12</t>
  </si>
  <si>
    <t>3g13</t>
  </si>
  <si>
    <t>3g14</t>
  </si>
  <si>
    <t>3j1</t>
  </si>
  <si>
    <t>3h1</t>
  </si>
  <si>
    <t>3h2</t>
  </si>
  <si>
    <t>3h3</t>
  </si>
  <si>
    <t>3h4</t>
  </si>
  <si>
    <t>3h5</t>
  </si>
  <si>
    <t>3h6</t>
  </si>
  <si>
    <t>3h7</t>
  </si>
  <si>
    <t>3h8</t>
  </si>
  <si>
    <t>3h9</t>
  </si>
  <si>
    <t>3h10</t>
  </si>
  <si>
    <t>3h11</t>
  </si>
  <si>
    <t>3h12</t>
  </si>
  <si>
    <t>3h13</t>
  </si>
  <si>
    <t>3h14</t>
  </si>
  <si>
    <t>3i</t>
  </si>
  <si>
    <t>3i1</t>
  </si>
  <si>
    <t>3i2</t>
  </si>
  <si>
    <t>3i3</t>
  </si>
  <si>
    <t>3i4</t>
  </si>
  <si>
    <t>3i5</t>
  </si>
  <si>
    <t>3i6</t>
  </si>
  <si>
    <t>3i7</t>
  </si>
  <si>
    <t>3i8</t>
  </si>
  <si>
    <t>3i9</t>
  </si>
  <si>
    <t>3i10</t>
  </si>
  <si>
    <t>3i11</t>
  </si>
  <si>
    <t>3i12</t>
  </si>
  <si>
    <t>3i13</t>
  </si>
  <si>
    <t>3i14</t>
  </si>
  <si>
    <t>3i15</t>
  </si>
  <si>
    <t>3k</t>
  </si>
  <si>
    <t>3k1</t>
  </si>
  <si>
    <t>3k2</t>
  </si>
  <si>
    <t>3k3</t>
  </si>
  <si>
    <t>3k4</t>
  </si>
  <si>
    <t>3k5</t>
  </si>
  <si>
    <t>3k6</t>
  </si>
  <si>
    <t>3k7</t>
  </si>
  <si>
    <t>3k8</t>
  </si>
  <si>
    <t>3k9</t>
  </si>
  <si>
    <t>3k10</t>
  </si>
  <si>
    <t>3j</t>
  </si>
  <si>
    <t>3j2</t>
  </si>
  <si>
    <t>3j3</t>
  </si>
  <si>
    <t>3j4</t>
  </si>
  <si>
    <t>3j5</t>
  </si>
  <si>
    <t>3j6</t>
  </si>
  <si>
    <t>3j7</t>
  </si>
  <si>
    <t>3j8</t>
  </si>
  <si>
    <t>3j9</t>
  </si>
  <si>
    <t>3j10</t>
  </si>
  <si>
    <t>3j11</t>
  </si>
  <si>
    <t>3j12</t>
  </si>
  <si>
    <t>3j13</t>
  </si>
  <si>
    <t>3j14</t>
  </si>
  <si>
    <t>3k11</t>
  </si>
  <si>
    <t>3k12</t>
  </si>
  <si>
    <t>3k13</t>
  </si>
  <si>
    <t>3k14</t>
  </si>
  <si>
    <t>3l</t>
  </si>
  <si>
    <t>3l1</t>
  </si>
  <si>
    <t>3l2</t>
  </si>
  <si>
    <t>3l3</t>
  </si>
  <si>
    <t>3l4</t>
  </si>
  <si>
    <t>3l5</t>
  </si>
  <si>
    <t>3l6</t>
  </si>
  <si>
    <t>3l7</t>
  </si>
  <si>
    <t>3l8</t>
  </si>
  <si>
    <t>3l9</t>
  </si>
  <si>
    <t>3l10</t>
  </si>
  <si>
    <t>3l11</t>
  </si>
  <si>
    <t>3l12</t>
  </si>
  <si>
    <t>3l13</t>
  </si>
  <si>
    <t>3l14</t>
  </si>
  <si>
    <t>3m</t>
  </si>
  <si>
    <t>3m1</t>
  </si>
  <si>
    <t>3m2</t>
  </si>
  <si>
    <t>3m3</t>
  </si>
  <si>
    <t>3m4</t>
  </si>
  <si>
    <t>3m5</t>
  </si>
  <si>
    <t>3m6</t>
  </si>
  <si>
    <t>3m7</t>
  </si>
  <si>
    <t>3m8</t>
  </si>
  <si>
    <t>3m9</t>
  </si>
  <si>
    <t>3m10</t>
  </si>
  <si>
    <t>3m11</t>
  </si>
  <si>
    <t>3m12</t>
  </si>
  <si>
    <t>3m13</t>
  </si>
  <si>
    <t>3m14</t>
  </si>
  <si>
    <t>3n</t>
  </si>
  <si>
    <t>3n1</t>
  </si>
  <si>
    <t>3n2</t>
  </si>
  <si>
    <t>3n3</t>
  </si>
  <si>
    <t>3n4</t>
  </si>
  <si>
    <t>3n5</t>
  </si>
  <si>
    <t>3n6</t>
  </si>
  <si>
    <t>4n7</t>
  </si>
  <si>
    <t>3n8</t>
  </si>
  <si>
    <t>3n9</t>
  </si>
  <si>
    <t>3n10</t>
  </si>
  <si>
    <t>3n11</t>
  </si>
  <si>
    <t>3n12</t>
  </si>
  <si>
    <t>3n13</t>
  </si>
  <si>
    <t>3n14</t>
  </si>
  <si>
    <t>Total Tasks 1 thru 5</t>
  </si>
  <si>
    <t>6g</t>
  </si>
  <si>
    <t>6h</t>
  </si>
  <si>
    <t>SUMMARY - Pogo Project Reclamation Plan</t>
  </si>
  <si>
    <t>3% - allows for redesign of the existing reclamation plan to reflect current conditions in the event of bankruptcy</t>
  </si>
  <si>
    <t>5% - accounts for construction engineering and management on behalf of agency conducting reclamtion</t>
  </si>
  <si>
    <t>15% - covers administrative, management, safety, legal, and other costs</t>
  </si>
  <si>
    <t>includes transformer upper level (O-04), I/O panel (O-04), stilling basin (O-04), recycle well pumps (O-04), warming hut (O-04), haul to solid waste disposal (O-06)</t>
  </si>
  <si>
    <t>includes upper exploration camp (A-01), fuel tanks (A-02), septic tank (A-05), generators (A-06), remaining above ground items (A-19), haul to solid waste (A-20)</t>
  </si>
  <si>
    <t>includes removal of all construction facilities (B-00) construction camp, offices, temp. mine dry, warehouse, fence, haul to solid waste</t>
  </si>
  <si>
    <t>based on Pogo reclamation plan with changes to indirect costs as noted below</t>
  </si>
  <si>
    <t>5% - allows for mob/demob of equipment</t>
  </si>
  <si>
    <t>8% - accounts for costs inclurred by agencies in the event they perfrom reclamation</t>
  </si>
  <si>
    <t>SUMMARY - Pogo Project - Operating Costs (Indirect Costs Included)</t>
  </si>
  <si>
    <t>assess and change reclamation tasks and unit costs as noted, indirect costs from CSP2 scenario 1</t>
  </si>
  <si>
    <t>12' growth media to ensure adequate coverage; assume cost doubles to haul and apply</t>
  </si>
  <si>
    <t>unit cost based on MDEQ estimation for flat surfaces</t>
  </si>
  <si>
    <t>re-seed drystack, unit cost based on MDEQ estimation for flat surfaces</t>
  </si>
  <si>
    <t>re-seed cover, unit cost based on MDEQ estimation for flat surfaces</t>
  </si>
  <si>
    <t>based on Scenario 1</t>
  </si>
  <si>
    <t>from operate WTP (S-00) page 35 of 36, 180 gpm 8 months per year for 10 years, unit cost = $6.00 per 1000 gals treated</t>
  </si>
  <si>
    <r>
      <t>based on CSP2 water treatment unit cost of $10.50 per 1000 gals treated, 6.2 x 10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0"/>
      </rPr>
      <t xml:space="preserve"> gals treated over 10 years, $6,531,840</t>
    </r>
  </si>
  <si>
    <r>
      <t>based on captial cost of $2,614,000 estimated from CSP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unit costs</t>
    </r>
  </si>
  <si>
    <t xml:space="preserve">re-seed airstrip, unit cost based on MDEQ estimation for flat surfaces, old air strip area = 2 ac = 9680 sy </t>
  </si>
  <si>
    <t>sludge disposal costs of $20,000/year for 10 years (underground mine closure prevents sludge disposal)</t>
  </si>
  <si>
    <t>yr</t>
  </si>
  <si>
    <t>based on Scenario 2 with 50 years of water treatment</t>
  </si>
  <si>
    <t>based on Scenario 2 with 100 years of water treatment</t>
  </si>
  <si>
    <t>sludge disposal costs of $20,000/year for 50 years (underground mine closure prevents sludge disposal)</t>
  </si>
  <si>
    <t>sludge disposal costs of $20,000/year for 100 years (underground mine closure prevents sludge disposal)</t>
  </si>
  <si>
    <r>
      <t>based on CSP2 water treatment unit cost of $10.50 per 1000 gals treated, 3.1 x 10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0"/>
      </rPr>
      <t xml:space="preserve"> gals treated over 50 years, $32,550,000</t>
    </r>
  </si>
  <si>
    <r>
      <t>based on CSP2 water treatment unit cost of $10.50 per 1000 gals treated, 6.2 x 10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0"/>
      </rPr>
      <t xml:space="preserve"> gals treated over 100 years, $65,100,000</t>
    </r>
  </si>
  <si>
    <t>includes Phase I water quality assurance (S-00) page 3 of 36, Phase II water quality assurance page 5 of 36, Phase III water quality assurance page 28 of 36, Phase IV water quality assurance inspection (S-00) page 35 of 36, Phase IV bore groundwater monitoring (S-00), 20 years Phase V Water Quality Assurance total (S-00) page 35-36 of 36</t>
  </si>
  <si>
    <t>includes Phase I to IV for 50 years at an annual cost of  $50,000 plus $2,679,000 for Phase V</t>
  </si>
  <si>
    <t>includes Phase I to IV for 100 years at an annual cost of  $50,000 plus $2,679,000 for Phase V</t>
  </si>
  <si>
    <t>70 years</t>
  </si>
  <si>
    <t>120 years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</si>
</sst>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&quot;$&quot;#,##0"/>
    <numFmt numFmtId="170" formatCode="&quot;$&quot;#,##0.00"/>
    <numFmt numFmtId="171" formatCode="0.0%"/>
    <numFmt numFmtId="172" formatCode="0.000"/>
    <numFmt numFmtId="173" formatCode="0.0000"/>
    <numFmt numFmtId="174" formatCode="0.0"/>
    <numFmt numFmtId="175" formatCode="&quot;$&quot;#,##0.0_);[Red]\(&quot;$&quot;#,##0.0\)"/>
    <numFmt numFmtId="176" formatCode="&quot;$&quot;#,##0.0"/>
    <numFmt numFmtId="177" formatCode="&quot;$&quot;#,##0.000"/>
    <numFmt numFmtId="178" formatCode="&quot;$&quot;#,##0.0000"/>
    <numFmt numFmtId="179" formatCode="&quot;$&quot;#,##0;[Red]&quot;$&quot;#,##0"/>
    <numFmt numFmtId="180" formatCode="&quot;$&quot;#,##0.000_);[Red]\(&quot;$&quot;#,##0.000\)"/>
    <numFmt numFmtId="181" formatCode="&quot;$&quot;#,##0.0000_);[Red]\(&quot;$&quot;#,##0.0000\)"/>
    <numFmt numFmtId="182" formatCode="_(&quot;$&quot;* #,##0.0000_);_(&quot;$&quot;* \(#,##0.0000\);_(&quot;$&quot;* &quot;-&quot;??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Braggadocio"/>
      <family val="5"/>
    </font>
    <font>
      <b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vertAlign val="superscript"/>
      <sz val="9"/>
      <name val="Arial"/>
      <family val="2"/>
    </font>
    <font>
      <sz val="9"/>
      <color indexed="53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0"/>
    </font>
    <font>
      <sz val="9"/>
      <color indexed="10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6" fontId="3" fillId="0" borderId="0" xfId="0" applyNumberFormat="1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/>
    </xf>
    <xf numFmtId="16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169" fontId="3" fillId="0" borderId="11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0" xfId="0" applyNumberFormat="1" applyFont="1" applyBorder="1" applyAlignment="1">
      <alignment/>
    </xf>
    <xf numFmtId="6" fontId="3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6" fontId="3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8" xfId="0" applyNumberFormat="1" applyFont="1" applyBorder="1" applyAlignment="1">
      <alignment/>
    </xf>
    <xf numFmtId="169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6" fontId="3" fillId="0" borderId="4" xfId="0" applyNumberFormat="1" applyFont="1" applyBorder="1" applyAlignment="1">
      <alignment/>
    </xf>
    <xf numFmtId="0" fontId="3" fillId="0" borderId="20" xfId="0" applyFont="1" applyBorder="1" applyAlignment="1">
      <alignment/>
    </xf>
    <xf numFmtId="6" fontId="3" fillId="0" borderId="21" xfId="0" applyNumberFormat="1" applyFont="1" applyBorder="1" applyAlignment="1">
      <alignment/>
    </xf>
    <xf numFmtId="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6" fontId="6" fillId="0" borderId="23" xfId="0" applyNumberFormat="1" applyFont="1" applyBorder="1" applyAlignment="1">
      <alignment/>
    </xf>
    <xf numFmtId="9" fontId="3" fillId="0" borderId="7" xfId="23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/>
    </xf>
    <xf numFmtId="6" fontId="3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8" fontId="3" fillId="0" borderId="5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169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169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6" fontId="3" fillId="0" borderId="5" xfId="0" applyNumberFormat="1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/>
    </xf>
    <xf numFmtId="6" fontId="3" fillId="0" borderId="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9" fontId="3" fillId="0" borderId="7" xfId="0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0" fontId="3" fillId="0" borderId="5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/>
    </xf>
    <xf numFmtId="6" fontId="10" fillId="0" borderId="14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9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37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169" fontId="3" fillId="0" borderId="39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21" xfId="0" applyNumberFormat="1" applyFont="1" applyFill="1" applyBorder="1" applyAlignment="1">
      <alignment wrapText="1"/>
    </xf>
    <xf numFmtId="0" fontId="6" fillId="0" borderId="4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6" xfId="0" applyFont="1" applyFill="1" applyBorder="1" applyAlignment="1">
      <alignment/>
    </xf>
    <xf numFmtId="9" fontId="3" fillId="0" borderId="6" xfId="0" applyNumberFormat="1" applyFont="1" applyBorder="1" applyAlignment="1">
      <alignment/>
    </xf>
    <xf numFmtId="169" fontId="3" fillId="0" borderId="32" xfId="0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9" fontId="3" fillId="0" borderId="21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9" fontId="3" fillId="0" borderId="5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8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6" fontId="3" fillId="0" borderId="42" xfId="0" applyNumberFormat="1" applyFont="1" applyFill="1" applyBorder="1" applyAlignment="1">
      <alignment/>
    </xf>
    <xf numFmtId="0" fontId="6" fillId="0" borderId="0" xfId="22" applyFont="1" applyFill="1">
      <alignment/>
      <protection/>
    </xf>
    <xf numFmtId="0" fontId="12" fillId="0" borderId="0" xfId="22" applyFont="1" applyFill="1" applyAlignment="1">
      <alignment horizontal="centerContinuous"/>
      <protection/>
    </xf>
    <xf numFmtId="0" fontId="13" fillId="0" borderId="0" xfId="22" applyFont="1" applyFill="1" applyAlignment="1">
      <alignment horizontal="centerContinuous"/>
      <protection/>
    </xf>
    <xf numFmtId="0" fontId="13" fillId="0" borderId="0" xfId="22" applyFont="1" applyFill="1">
      <alignment/>
      <protection/>
    </xf>
    <xf numFmtId="0" fontId="13" fillId="0" borderId="43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44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0" fontId="10" fillId="0" borderId="0" xfId="22" applyFont="1" applyFill="1">
      <alignment/>
      <protection/>
    </xf>
    <xf numFmtId="169" fontId="10" fillId="0" borderId="0" xfId="22" applyNumberFormat="1" applyFont="1" applyFill="1">
      <alignment/>
      <protection/>
    </xf>
    <xf numFmtId="6" fontId="10" fillId="0" borderId="0" xfId="22" applyNumberFormat="1" applyFont="1" applyFill="1">
      <alignment/>
      <protection/>
    </xf>
    <xf numFmtId="6" fontId="13" fillId="0" borderId="0" xfId="22" applyNumberFormat="1" applyFont="1" applyFill="1">
      <alignment/>
      <protection/>
    </xf>
    <xf numFmtId="182" fontId="13" fillId="0" borderId="0" xfId="22" applyNumberFormat="1" applyFont="1" applyFill="1">
      <alignment/>
      <protection/>
    </xf>
    <xf numFmtId="3" fontId="13" fillId="0" borderId="0" xfId="22" applyNumberFormat="1" applyFont="1" applyFill="1">
      <alignment/>
      <protection/>
    </xf>
    <xf numFmtId="0" fontId="13" fillId="0" borderId="1" xfId="22" applyFont="1" applyFill="1" applyBorder="1" applyAlignment="1">
      <alignment horizontal="center" wrapText="1"/>
      <protection/>
    </xf>
    <xf numFmtId="0" fontId="13" fillId="0" borderId="45" xfId="22" applyFont="1" applyFill="1" applyBorder="1" applyAlignment="1">
      <alignment horizontal="center" wrapText="1"/>
      <protection/>
    </xf>
    <xf numFmtId="0" fontId="13" fillId="0" borderId="2" xfId="22" applyFont="1" applyFill="1" applyBorder="1" applyAlignment="1">
      <alignment horizontal="center" wrapText="1"/>
      <protection/>
    </xf>
    <xf numFmtId="171" fontId="13" fillId="0" borderId="44" xfId="22" applyNumberFormat="1" applyFont="1" applyFill="1" applyBorder="1" applyAlignment="1">
      <alignment horizontal="center" vertical="center" wrapText="1"/>
      <protection/>
    </xf>
    <xf numFmtId="171" fontId="13" fillId="0" borderId="5" xfId="22" applyNumberFormat="1" applyFont="1" applyFill="1" applyBorder="1" applyAlignment="1">
      <alignment horizontal="center" vertical="center" wrapText="1"/>
      <protection/>
    </xf>
    <xf numFmtId="0" fontId="13" fillId="0" borderId="3" xfId="22" applyFont="1" applyFill="1" applyBorder="1">
      <alignment/>
      <protection/>
    </xf>
    <xf numFmtId="6" fontId="3" fillId="0" borderId="46" xfId="22" applyNumberFormat="1" applyFont="1" applyFill="1" applyBorder="1" applyAlignment="1">
      <alignment horizontal="right"/>
      <protection/>
    </xf>
    <xf numFmtId="0" fontId="13" fillId="0" borderId="47" xfId="22" applyFont="1" applyFill="1" applyBorder="1" applyAlignment="1">
      <alignment horizontal="center"/>
      <protection/>
    </xf>
    <xf numFmtId="6" fontId="3" fillId="0" borderId="47" xfId="22" applyNumberFormat="1" applyFont="1" applyFill="1" applyBorder="1" applyAlignment="1">
      <alignment horizontal="right"/>
      <protection/>
    </xf>
    <xf numFmtId="6" fontId="3" fillId="0" borderId="47" xfId="22" applyNumberFormat="1" applyFont="1" applyFill="1" applyBorder="1">
      <alignment/>
      <protection/>
    </xf>
    <xf numFmtId="6" fontId="3" fillId="0" borderId="47" xfId="21" applyNumberFormat="1" applyFont="1" applyFill="1" applyBorder="1" applyAlignment="1">
      <alignment/>
    </xf>
    <xf numFmtId="0" fontId="3" fillId="0" borderId="0" xfId="22" applyFont="1" applyFill="1">
      <alignment/>
      <protection/>
    </xf>
    <xf numFmtId="169" fontId="3" fillId="0" borderId="0" xfId="0" applyNumberFormat="1" applyFon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69" fontId="6" fillId="0" borderId="47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53" xfId="0" applyFont="1" applyFill="1" applyBorder="1" applyAlignment="1">
      <alignment/>
    </xf>
    <xf numFmtId="6" fontId="3" fillId="0" borderId="8" xfId="0" applyNumberFormat="1" applyFont="1" applyFill="1" applyBorder="1" applyAlignment="1">
      <alignment/>
    </xf>
    <xf numFmtId="0" fontId="3" fillId="0" borderId="54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69" fontId="3" fillId="0" borderId="5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169" fontId="3" fillId="0" borderId="6" xfId="0" applyNumberFormat="1" applyFont="1" applyFill="1" applyBorder="1" applyAlignment="1">
      <alignment/>
    </xf>
    <xf numFmtId="169" fontId="3" fillId="0" borderId="57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77" fontId="3" fillId="0" borderId="5" xfId="0" applyNumberFormat="1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6" fontId="10" fillId="0" borderId="14" xfId="0" applyNumberFormat="1" applyFont="1" applyFill="1" applyBorder="1" applyAlignment="1">
      <alignment/>
    </xf>
    <xf numFmtId="169" fontId="3" fillId="0" borderId="3" xfId="0" applyNumberFormat="1" applyFont="1" applyFill="1" applyBorder="1" applyAlignment="1">
      <alignment/>
    </xf>
    <xf numFmtId="6" fontId="3" fillId="0" borderId="55" xfId="0" applyNumberFormat="1" applyFont="1" applyFill="1" applyBorder="1" applyAlignment="1">
      <alignment/>
    </xf>
    <xf numFmtId="169" fontId="3" fillId="0" borderId="58" xfId="0" applyNumberFormat="1" applyFont="1" applyFill="1" applyBorder="1" applyAlignment="1">
      <alignment/>
    </xf>
    <xf numFmtId="171" fontId="3" fillId="0" borderId="8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169" fontId="3" fillId="0" borderId="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38" fontId="3" fillId="0" borderId="3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169" fontId="6" fillId="0" borderId="62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69" fontId="3" fillId="0" borderId="19" xfId="0" applyNumberFormat="1" applyFont="1" applyFill="1" applyBorder="1" applyAlignment="1">
      <alignment/>
    </xf>
    <xf numFmtId="6" fontId="3" fillId="0" borderId="19" xfId="0" applyNumberFormat="1" applyFont="1" applyFill="1" applyBorder="1" applyAlignment="1">
      <alignment/>
    </xf>
    <xf numFmtId="169" fontId="3" fillId="0" borderId="52" xfId="0" applyNumberFormat="1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0" fontId="3" fillId="0" borderId="6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6" fontId="3" fillId="0" borderId="64" xfId="0" applyNumberFormat="1" applyFont="1" applyFill="1" applyBorder="1" applyAlignment="1">
      <alignment/>
    </xf>
    <xf numFmtId="6" fontId="3" fillId="0" borderId="4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6" fontId="3" fillId="0" borderId="37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9" xfId="0" applyNumberFormat="1" applyFont="1" applyFill="1" applyBorder="1" applyAlignment="1">
      <alignment/>
    </xf>
    <xf numFmtId="6" fontId="3" fillId="0" borderId="65" xfId="0" applyNumberFormat="1" applyFont="1" applyFill="1" applyBorder="1" applyAlignment="1">
      <alignment/>
    </xf>
    <xf numFmtId="6" fontId="3" fillId="0" borderId="7" xfId="0" applyNumberFormat="1" applyFont="1" applyFill="1" applyBorder="1" applyAlignment="1">
      <alignment/>
    </xf>
    <xf numFmtId="6" fontId="3" fillId="0" borderId="10" xfId="0" applyNumberFormat="1" applyFont="1" applyFill="1" applyBorder="1" applyAlignment="1">
      <alignment/>
    </xf>
    <xf numFmtId="6" fontId="3" fillId="0" borderId="66" xfId="0" applyNumberFormat="1" applyFont="1" applyFill="1" applyBorder="1" applyAlignment="1">
      <alignment/>
    </xf>
    <xf numFmtId="6" fontId="3" fillId="0" borderId="66" xfId="0" applyNumberFormat="1" applyFont="1" applyFill="1" applyBorder="1" applyAlignment="1">
      <alignment/>
    </xf>
    <xf numFmtId="6" fontId="3" fillId="0" borderId="67" xfId="0" applyNumberFormat="1" applyFont="1" applyFill="1" applyBorder="1" applyAlignment="1">
      <alignment/>
    </xf>
    <xf numFmtId="6" fontId="3" fillId="0" borderId="65" xfId="0" applyNumberFormat="1" applyFont="1" applyFill="1" applyBorder="1" applyAlignment="1">
      <alignment/>
    </xf>
    <xf numFmtId="6" fontId="3" fillId="0" borderId="68" xfId="0" applyNumberFormat="1" applyFont="1" applyFill="1" applyBorder="1" applyAlignment="1">
      <alignment/>
    </xf>
    <xf numFmtId="6" fontId="3" fillId="0" borderId="37" xfId="0" applyNumberFormat="1" applyFont="1" applyFill="1" applyBorder="1" applyAlignment="1">
      <alignment/>
    </xf>
    <xf numFmtId="6" fontId="3" fillId="0" borderId="10" xfId="0" applyNumberFormat="1" applyFont="1" applyFill="1" applyBorder="1" applyAlignment="1">
      <alignment/>
    </xf>
    <xf numFmtId="169" fontId="3" fillId="0" borderId="37" xfId="0" applyNumberFormat="1" applyFont="1" applyFill="1" applyBorder="1" applyAlignment="1">
      <alignment/>
    </xf>
    <xf numFmtId="169" fontId="3" fillId="0" borderId="20" xfId="0" applyNumberFormat="1" applyFont="1" applyFill="1" applyBorder="1" applyAlignment="1">
      <alignment/>
    </xf>
    <xf numFmtId="6" fontId="3" fillId="0" borderId="2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69" xfId="0" applyNumberFormat="1" applyFont="1" applyFill="1" applyBorder="1" applyAlignment="1">
      <alignment/>
    </xf>
    <xf numFmtId="6" fontId="3" fillId="0" borderId="64" xfId="0" applyNumberFormat="1" applyFont="1" applyFill="1" applyBorder="1" applyAlignment="1">
      <alignment/>
    </xf>
    <xf numFmtId="6" fontId="3" fillId="0" borderId="70" xfId="0" applyNumberFormat="1" applyFont="1" applyFill="1" applyBorder="1" applyAlignment="1">
      <alignment/>
    </xf>
    <xf numFmtId="6" fontId="3" fillId="0" borderId="69" xfId="0" applyNumberFormat="1" applyFont="1" applyFill="1" applyBorder="1" applyAlignment="1">
      <alignment/>
    </xf>
    <xf numFmtId="6" fontId="3" fillId="0" borderId="0" xfId="0" applyNumberFormat="1" applyFont="1" applyFill="1" applyAlignment="1">
      <alignment/>
    </xf>
    <xf numFmtId="6" fontId="3" fillId="0" borderId="71" xfId="0" applyNumberFormat="1" applyFont="1" applyFill="1" applyBorder="1" applyAlignment="1">
      <alignment/>
    </xf>
    <xf numFmtId="6" fontId="3" fillId="0" borderId="20" xfId="0" applyNumberFormat="1" applyFont="1" applyFill="1" applyBorder="1" applyAlignment="1">
      <alignment/>
    </xf>
    <xf numFmtId="6" fontId="6" fillId="0" borderId="64" xfId="0" applyNumberFormat="1" applyFont="1" applyFill="1" applyBorder="1" applyAlignment="1">
      <alignment/>
    </xf>
    <xf numFmtId="6" fontId="6" fillId="0" borderId="22" xfId="0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0" fontId="3" fillId="0" borderId="41" xfId="0" applyFont="1" applyBorder="1" applyAlignment="1">
      <alignment wrapText="1"/>
    </xf>
    <xf numFmtId="6" fontId="3" fillId="0" borderId="20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169" fontId="3" fillId="0" borderId="7" xfId="0" applyNumberFormat="1" applyFont="1" applyBorder="1" applyAlignment="1">
      <alignment/>
    </xf>
    <xf numFmtId="0" fontId="3" fillId="0" borderId="71" xfId="0" applyFont="1" applyFill="1" applyBorder="1" applyAlignment="1">
      <alignment/>
    </xf>
    <xf numFmtId="6" fontId="3" fillId="0" borderId="2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6" fontId="3" fillId="0" borderId="22" xfId="0" applyNumberFormat="1" applyFont="1" applyFill="1" applyBorder="1" applyAlignment="1">
      <alignment/>
    </xf>
    <xf numFmtId="6" fontId="3" fillId="0" borderId="69" xfId="0" applyNumberFormat="1" applyFont="1" applyFill="1" applyBorder="1" applyAlignment="1">
      <alignment/>
    </xf>
    <xf numFmtId="9" fontId="3" fillId="0" borderId="7" xfId="23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0" fontId="6" fillId="0" borderId="7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6" fontId="10" fillId="0" borderId="5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6" fontId="3" fillId="0" borderId="3" xfId="0" applyNumberFormat="1" applyFont="1" applyFill="1" applyBorder="1" applyAlignment="1">
      <alignment/>
    </xf>
    <xf numFmtId="6" fontId="3" fillId="0" borderId="61" xfId="0" applyNumberFormat="1" applyFont="1" applyFill="1" applyBorder="1" applyAlignment="1">
      <alignment/>
    </xf>
    <xf numFmtId="8" fontId="3" fillId="0" borderId="19" xfId="0" applyNumberFormat="1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9" fontId="3" fillId="0" borderId="2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6" fontId="3" fillId="0" borderId="7" xfId="0" applyNumberFormat="1" applyFont="1" applyBorder="1" applyAlignment="1">
      <alignment/>
    </xf>
    <xf numFmtId="6" fontId="3" fillId="0" borderId="69" xfId="0" applyNumberFormat="1" applyFont="1" applyBorder="1" applyAlignment="1">
      <alignment/>
    </xf>
    <xf numFmtId="6" fontId="3" fillId="0" borderId="21" xfId="0" applyNumberFormat="1" applyFont="1" applyBorder="1" applyAlignment="1">
      <alignment wrapText="1"/>
    </xf>
    <xf numFmtId="0" fontId="3" fillId="0" borderId="73" xfId="0" applyFont="1" applyFill="1" applyBorder="1" applyAlignment="1">
      <alignment wrapText="1"/>
    </xf>
    <xf numFmtId="9" fontId="3" fillId="0" borderId="21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48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169" fontId="6" fillId="0" borderId="47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10" fillId="0" borderId="5" xfId="0" applyNumberFormat="1" applyFont="1" applyBorder="1" applyAlignment="1">
      <alignment/>
    </xf>
    <xf numFmtId="169" fontId="3" fillId="0" borderId="42" xfId="0" applyNumberFormat="1" applyFont="1" applyFill="1" applyBorder="1" applyAlignment="1">
      <alignment/>
    </xf>
    <xf numFmtId="169" fontId="3" fillId="0" borderId="3" xfId="0" applyNumberFormat="1" applyFont="1" applyBorder="1" applyAlignment="1">
      <alignment/>
    </xf>
    <xf numFmtId="169" fontId="3" fillId="0" borderId="55" xfId="0" applyNumberFormat="1" applyFont="1" applyBorder="1" applyAlignment="1">
      <alignment/>
    </xf>
    <xf numFmtId="169" fontId="3" fillId="0" borderId="61" xfId="0" applyNumberFormat="1" applyFont="1" applyBorder="1" applyAlignment="1">
      <alignment/>
    </xf>
    <xf numFmtId="169" fontId="3" fillId="0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9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52" xfId="0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69" fontId="14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6" fontId="14" fillId="0" borderId="14" xfId="0" applyNumberFormat="1" applyFont="1" applyBorder="1" applyAlignment="1">
      <alignment/>
    </xf>
    <xf numFmtId="0" fontId="14" fillId="0" borderId="5" xfId="0" applyFont="1" applyFill="1" applyBorder="1" applyAlignment="1">
      <alignment/>
    </xf>
    <xf numFmtId="6" fontId="14" fillId="0" borderId="14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8" fontId="14" fillId="0" borderId="5" xfId="0" applyNumberFormat="1" applyFont="1" applyBorder="1" applyAlignment="1">
      <alignment/>
    </xf>
    <xf numFmtId="8" fontId="14" fillId="0" borderId="5" xfId="0" applyNumberFormat="1" applyFont="1" applyFill="1" applyBorder="1" applyAlignment="1">
      <alignment/>
    </xf>
    <xf numFmtId="6" fontId="14" fillId="0" borderId="5" xfId="0" applyNumberFormat="1" applyFont="1" applyBorder="1" applyAlignment="1">
      <alignment/>
    </xf>
    <xf numFmtId="6" fontId="14" fillId="0" borderId="5" xfId="0" applyNumberFormat="1" applyFont="1" applyFill="1" applyBorder="1" applyAlignment="1">
      <alignment/>
    </xf>
    <xf numFmtId="170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169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 wrapText="1"/>
    </xf>
    <xf numFmtId="169" fontId="14" fillId="0" borderId="21" xfId="0" applyNumberFormat="1" applyFont="1" applyBorder="1" applyAlignment="1">
      <alignment/>
    </xf>
    <xf numFmtId="169" fontId="3" fillId="0" borderId="21" xfId="0" applyNumberFormat="1" applyFont="1" applyBorder="1" applyAlignment="1">
      <alignment wrapText="1"/>
    </xf>
    <xf numFmtId="16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170" fontId="3" fillId="0" borderId="3" xfId="0" applyNumberFormat="1" applyFont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0" xfId="0" applyFont="1" applyAlignment="1">
      <alignment/>
    </xf>
    <xf numFmtId="169" fontId="10" fillId="0" borderId="11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169" fontId="10" fillId="0" borderId="5" xfId="0" applyNumberFormat="1" applyFont="1" applyFill="1" applyBorder="1" applyAlignment="1">
      <alignment/>
    </xf>
    <xf numFmtId="169" fontId="10" fillId="0" borderId="14" xfId="0" applyNumberFormat="1" applyFont="1" applyFill="1" applyBorder="1" applyAlignment="1">
      <alignment/>
    </xf>
    <xf numFmtId="169" fontId="10" fillId="0" borderId="52" xfId="0" applyNumberFormat="1" applyFont="1" applyFill="1" applyBorder="1" applyAlignment="1">
      <alignment/>
    </xf>
    <xf numFmtId="169" fontId="10" fillId="0" borderId="13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5" xfId="0" applyNumberFormat="1" applyFont="1" applyFill="1" applyBorder="1" applyAlignment="1">
      <alignment/>
    </xf>
    <xf numFmtId="1" fontId="10" fillId="0" borderId="52" xfId="0" applyNumberFormat="1" applyFont="1" applyFill="1" applyBorder="1" applyAlignment="1">
      <alignment/>
    </xf>
    <xf numFmtId="8" fontId="10" fillId="0" borderId="10" xfId="0" applyNumberFormat="1" applyFont="1" applyBorder="1" applyAlignment="1">
      <alignment/>
    </xf>
    <xf numFmtId="8" fontId="10" fillId="0" borderId="5" xfId="0" applyNumberFormat="1" applyFont="1" applyFill="1" applyBorder="1" applyAlignment="1">
      <alignment/>
    </xf>
    <xf numFmtId="0" fontId="10" fillId="0" borderId="74" xfId="0" applyFont="1" applyBorder="1" applyAlignment="1">
      <alignment/>
    </xf>
    <xf numFmtId="3" fontId="10" fillId="0" borderId="29" xfId="0" applyNumberFormat="1" applyFont="1" applyBorder="1" applyAlignment="1">
      <alignment/>
    </xf>
    <xf numFmtId="169" fontId="10" fillId="0" borderId="29" xfId="17" applyNumberFormat="1" applyFont="1" applyBorder="1" applyAlignment="1">
      <alignment/>
    </xf>
    <xf numFmtId="0" fontId="10" fillId="0" borderId="75" xfId="0" applyFont="1" applyFill="1" applyBorder="1" applyAlignment="1">
      <alignment/>
    </xf>
    <xf numFmtId="1" fontId="10" fillId="0" borderId="29" xfId="0" applyNumberFormat="1" applyFont="1" applyFill="1" applyBorder="1" applyAlignment="1">
      <alignment/>
    </xf>
    <xf numFmtId="184" fontId="10" fillId="0" borderId="29" xfId="17" applyNumberFormat="1" applyFont="1" applyFill="1" applyBorder="1" applyAlignment="1">
      <alignment/>
    </xf>
    <xf numFmtId="0" fontId="10" fillId="0" borderId="37" xfId="0" applyFont="1" applyBorder="1" applyAlignment="1">
      <alignment/>
    </xf>
    <xf numFmtId="169" fontId="3" fillId="0" borderId="37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3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184" fontId="10" fillId="0" borderId="76" xfId="17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0" fontId="3" fillId="0" borderId="77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3" fillId="0" borderId="78" xfId="0" applyFont="1" applyFill="1" applyBorder="1" applyAlignment="1">
      <alignment/>
    </xf>
    <xf numFmtId="169" fontId="3" fillId="0" borderId="79" xfId="0" applyNumberFormat="1" applyFont="1" applyBorder="1" applyAlignment="1">
      <alignment/>
    </xf>
    <xf numFmtId="169" fontId="6" fillId="0" borderId="80" xfId="0" applyNumberFormat="1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37" xfId="0" applyFont="1" applyFill="1" applyBorder="1" applyAlignment="1">
      <alignment/>
    </xf>
    <xf numFmtId="169" fontId="3" fillId="0" borderId="37" xfId="0" applyNumberFormat="1" applyFont="1" applyFill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169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/>
    </xf>
    <xf numFmtId="169" fontId="6" fillId="0" borderId="83" xfId="0" applyNumberFormat="1" applyFont="1" applyBorder="1" applyAlignment="1">
      <alignment horizontal="center"/>
    </xf>
    <xf numFmtId="169" fontId="3" fillId="0" borderId="9" xfId="0" applyNumberFormat="1" applyFont="1" applyFill="1" applyBorder="1" applyAlignment="1">
      <alignment/>
    </xf>
    <xf numFmtId="169" fontId="6" fillId="0" borderId="16" xfId="0" applyNumberFormat="1" applyFont="1" applyBorder="1" applyAlignment="1">
      <alignment/>
    </xf>
    <xf numFmtId="169" fontId="3" fillId="0" borderId="31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84" xfId="0" applyFont="1" applyBorder="1" applyAlignment="1">
      <alignment/>
    </xf>
    <xf numFmtId="0" fontId="3" fillId="0" borderId="24" xfId="0" applyFont="1" applyFill="1" applyBorder="1" applyAlignment="1">
      <alignment/>
    </xf>
    <xf numFmtId="0" fontId="14" fillId="0" borderId="11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85" xfId="0" applyFont="1" applyFill="1" applyBorder="1" applyAlignment="1">
      <alignment/>
    </xf>
    <xf numFmtId="3" fontId="14" fillId="0" borderId="5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6" fontId="3" fillId="0" borderId="9" xfId="0" applyNumberFormat="1" applyFont="1" applyFill="1" applyBorder="1" applyAlignment="1">
      <alignment/>
    </xf>
    <xf numFmtId="6" fontId="3" fillId="0" borderId="7" xfId="0" applyNumberFormat="1" applyFont="1" applyFill="1" applyBorder="1" applyAlignment="1">
      <alignment/>
    </xf>
    <xf numFmtId="6" fontId="3" fillId="0" borderId="4" xfId="0" applyNumberFormat="1" applyFont="1" applyFill="1" applyBorder="1" applyAlignment="1">
      <alignment/>
    </xf>
    <xf numFmtId="0" fontId="6" fillId="0" borderId="4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6" fontId="3" fillId="0" borderId="23" xfId="0" applyNumberFormat="1" applyFont="1" applyBorder="1" applyAlignment="1">
      <alignment/>
    </xf>
    <xf numFmtId="6" fontId="3" fillId="0" borderId="33" xfId="0" applyNumberFormat="1" applyFont="1" applyBorder="1" applyAlignment="1">
      <alignment/>
    </xf>
    <xf numFmtId="6" fontId="3" fillId="0" borderId="34" xfId="0" applyNumberFormat="1" applyFont="1" applyBorder="1" applyAlignment="1">
      <alignment/>
    </xf>
    <xf numFmtId="6" fontId="3" fillId="0" borderId="23" xfId="0" applyNumberFormat="1" applyFont="1" applyBorder="1" applyAlignment="1">
      <alignment/>
    </xf>
    <xf numFmtId="6" fontId="3" fillId="0" borderId="34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34" xfId="0" applyNumberFormat="1" applyFont="1" applyBorder="1" applyAlignment="1">
      <alignment/>
    </xf>
    <xf numFmtId="6" fontId="3" fillId="0" borderId="9" xfId="0" applyNumberFormat="1" applyFont="1" applyBorder="1" applyAlignment="1">
      <alignment/>
    </xf>
    <xf numFmtId="9" fontId="3" fillId="0" borderId="65" xfId="23" applyFont="1" applyFill="1" applyBorder="1" applyAlignment="1">
      <alignment/>
    </xf>
    <xf numFmtId="0" fontId="13" fillId="0" borderId="0" xfId="22" applyFont="1" applyFill="1" applyBorder="1" applyAlignment="1">
      <alignment horizontal="center" vertical="center" wrapText="1"/>
      <protection/>
    </xf>
    <xf numFmtId="171" fontId="13" fillId="0" borderId="0" xfId="22" applyNumberFormat="1" applyFont="1" applyFill="1" applyBorder="1" applyAlignment="1">
      <alignment horizontal="center" vertical="center" wrapText="1"/>
      <protection/>
    </xf>
    <xf numFmtId="6" fontId="3" fillId="0" borderId="0" xfId="22" applyNumberFormat="1" applyFont="1" applyFill="1" applyBorder="1" applyAlignment="1">
      <alignment horizontal="right"/>
      <protection/>
    </xf>
    <xf numFmtId="6" fontId="3" fillId="0" borderId="0" xfId="21" applyNumberFormat="1" applyFont="1" applyFill="1" applyBorder="1" applyAlignment="1">
      <alignment/>
    </xf>
    <xf numFmtId="0" fontId="13" fillId="0" borderId="0" xfId="22" applyFont="1" applyFill="1" applyBorder="1">
      <alignment/>
      <protection/>
    </xf>
    <xf numFmtId="0" fontId="10" fillId="0" borderId="0" xfId="22" applyFont="1" applyFill="1" applyBorder="1">
      <alignment/>
      <protection/>
    </xf>
    <xf numFmtId="6" fontId="6" fillId="0" borderId="22" xfId="0" applyNumberFormat="1" applyFont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169" fontId="3" fillId="0" borderId="57" xfId="0" applyNumberFormat="1" applyFont="1" applyBorder="1" applyAlignment="1">
      <alignment/>
    </xf>
    <xf numFmtId="169" fontId="6" fillId="0" borderId="86" xfId="17" applyNumberFormat="1" applyFont="1" applyFill="1" applyBorder="1" applyAlignment="1">
      <alignment/>
    </xf>
    <xf numFmtId="0" fontId="6" fillId="0" borderId="7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87" xfId="0" applyFont="1" applyBorder="1" applyAlignment="1">
      <alignment/>
    </xf>
    <xf numFmtId="169" fontId="3" fillId="0" borderId="52" xfId="0" applyNumberFormat="1" applyFont="1" applyBorder="1" applyAlignment="1">
      <alignment/>
    </xf>
    <xf numFmtId="169" fontId="3" fillId="0" borderId="88" xfId="0" applyNumberFormat="1" applyFont="1" applyBorder="1" applyAlignment="1">
      <alignment/>
    </xf>
    <xf numFmtId="169" fontId="3" fillId="0" borderId="89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89" xfId="0" applyFont="1" applyBorder="1" applyAlignment="1">
      <alignment/>
    </xf>
    <xf numFmtId="169" fontId="3" fillId="0" borderId="53" xfId="0" applyNumberFormat="1" applyFont="1" applyBorder="1" applyAlignment="1">
      <alignment/>
    </xf>
    <xf numFmtId="169" fontId="3" fillId="0" borderId="90" xfId="0" applyNumberFormat="1" applyFont="1" applyBorder="1" applyAlignment="1">
      <alignment/>
    </xf>
    <xf numFmtId="169" fontId="3" fillId="0" borderId="56" xfId="0" applyNumberFormat="1" applyFont="1" applyBorder="1" applyAlignment="1">
      <alignment/>
    </xf>
    <xf numFmtId="169" fontId="3" fillId="0" borderId="91" xfId="0" applyNumberFormat="1" applyFont="1" applyBorder="1" applyAlignment="1">
      <alignment/>
    </xf>
    <xf numFmtId="169" fontId="3" fillId="0" borderId="89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169" fontId="6" fillId="0" borderId="89" xfId="0" applyNumberFormat="1" applyFont="1" applyFill="1" applyBorder="1" applyAlignment="1">
      <alignment/>
    </xf>
    <xf numFmtId="169" fontId="3" fillId="0" borderId="54" xfId="0" applyNumberFormat="1" applyFont="1" applyBorder="1" applyAlignment="1">
      <alignment/>
    </xf>
    <xf numFmtId="169" fontId="3" fillId="0" borderId="92" xfId="0" applyNumberFormat="1" applyFont="1" applyBorder="1" applyAlignment="1">
      <alignment/>
    </xf>
    <xf numFmtId="169" fontId="3" fillId="0" borderId="93" xfId="0" applyNumberFormat="1" applyFont="1" applyBorder="1" applyAlignment="1">
      <alignment/>
    </xf>
    <xf numFmtId="169" fontId="3" fillId="0" borderId="58" xfId="0" applyNumberFormat="1" applyFont="1" applyBorder="1" applyAlignment="1">
      <alignment/>
    </xf>
    <xf numFmtId="169" fontId="3" fillId="0" borderId="93" xfId="0" applyNumberFormat="1" applyFont="1" applyFill="1" applyBorder="1" applyAlignment="1">
      <alignment/>
    </xf>
    <xf numFmtId="169" fontId="3" fillId="0" borderId="92" xfId="0" applyNumberFormat="1" applyFont="1" applyFill="1" applyBorder="1" applyAlignment="1">
      <alignment/>
    </xf>
    <xf numFmtId="0" fontId="3" fillId="0" borderId="89" xfId="0" applyFont="1" applyFill="1" applyBorder="1" applyAlignment="1">
      <alignment/>
    </xf>
    <xf numFmtId="169" fontId="3" fillId="0" borderId="60" xfId="0" applyNumberFormat="1" applyFont="1" applyBorder="1" applyAlignment="1">
      <alignment/>
    </xf>
    <xf numFmtId="169" fontId="3" fillId="0" borderId="94" xfId="0" applyNumberFormat="1" applyFont="1" applyFill="1" applyBorder="1" applyAlignment="1">
      <alignment/>
    </xf>
    <xf numFmtId="169" fontId="10" fillId="0" borderId="52" xfId="0" applyNumberFormat="1" applyFont="1" applyBorder="1" applyAlignment="1">
      <alignment/>
    </xf>
    <xf numFmtId="169" fontId="10" fillId="0" borderId="89" xfId="0" applyNumberFormat="1" applyFont="1" applyBorder="1" applyAlignment="1">
      <alignment/>
    </xf>
    <xf numFmtId="169" fontId="3" fillId="0" borderId="75" xfId="0" applyNumberFormat="1" applyFont="1" applyBorder="1" applyAlignment="1">
      <alignment/>
    </xf>
    <xf numFmtId="169" fontId="3" fillId="0" borderId="29" xfId="0" applyNumberFormat="1" applyFont="1" applyBorder="1" applyAlignment="1">
      <alignment/>
    </xf>
    <xf numFmtId="169" fontId="3" fillId="0" borderId="95" xfId="0" applyNumberFormat="1" applyFont="1" applyBorder="1" applyAlignment="1">
      <alignment/>
    </xf>
    <xf numFmtId="9" fontId="3" fillId="0" borderId="37" xfId="0" applyNumberFormat="1" applyFont="1" applyFill="1" applyBorder="1" applyAlignment="1">
      <alignment/>
    </xf>
    <xf numFmtId="9" fontId="3" fillId="0" borderId="37" xfId="0" applyNumberFormat="1" applyFont="1" applyBorder="1" applyAlignment="1">
      <alignment/>
    </xf>
    <xf numFmtId="169" fontId="3" fillId="0" borderId="66" xfId="0" applyNumberFormat="1" applyFont="1" applyFill="1" applyBorder="1" applyAlignment="1">
      <alignment/>
    </xf>
    <xf numFmtId="6" fontId="3" fillId="0" borderId="70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3" fillId="0" borderId="41" xfId="0" applyFont="1" applyBorder="1" applyAlignment="1">
      <alignment/>
    </xf>
    <xf numFmtId="6" fontId="3" fillId="0" borderId="21" xfId="0" applyNumberFormat="1" applyFont="1" applyFill="1" applyBorder="1" applyAlignment="1">
      <alignment wrapText="1"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98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0" borderId="99" xfId="0" applyFont="1" applyFill="1" applyBorder="1" applyAlignment="1">
      <alignment horizontal="center" wrapText="1"/>
    </xf>
    <xf numFmtId="0" fontId="0" fillId="0" borderId="100" xfId="0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49" fontId="12" fillId="0" borderId="0" xfId="22" applyNumberFormat="1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0" fontId="13" fillId="0" borderId="1" xfId="22" applyFont="1" applyFill="1" applyBorder="1" applyAlignment="1">
      <alignment horizontal="center" vertical="center"/>
      <protection/>
    </xf>
    <xf numFmtId="0" fontId="13" fillId="0" borderId="5" xfId="22" applyFont="1" applyFill="1" applyBorder="1" applyAlignment="1">
      <alignment horizontal="center" vertical="center"/>
      <protection/>
    </xf>
    <xf numFmtId="0" fontId="13" fillId="0" borderId="101" xfId="22" applyFont="1" applyFill="1" applyBorder="1" applyAlignment="1">
      <alignment horizontal="center"/>
      <protection/>
    </xf>
    <xf numFmtId="0" fontId="13" fillId="0" borderId="102" xfId="22" applyFont="1" applyFill="1" applyBorder="1" applyAlignment="1">
      <alignment horizontal="center"/>
      <protection/>
    </xf>
    <xf numFmtId="0" fontId="13" fillId="0" borderId="43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103" xfId="22" applyFont="1" applyFill="1" applyBorder="1" applyAlignment="1">
      <alignment horizontal="center"/>
      <protection/>
    </xf>
    <xf numFmtId="0" fontId="13" fillId="0" borderId="2" xfId="22" applyFont="1" applyFill="1" applyBorder="1" applyAlignment="1">
      <alignment horizontal="center"/>
      <protection/>
    </xf>
    <xf numFmtId="0" fontId="13" fillId="0" borderId="45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Ft Knox Tailings Disposal Closure Calc (2 Feb 03)" xfId="21"/>
    <cellStyle name="Normal_Ft Knox Tailings Disposal Closure Calc (2 Feb 03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hyperlink" Target="mailto:=@npv(L8,K9)" TargetMode="External" /><Relationship Id="rId8" Type="http://schemas.openxmlformats.org/officeDocument/2006/relationships/hyperlink" Target="mailto:=@npv(L8,K9)" TargetMode="Externa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=@npv(L8,K9)" TargetMode="External" /><Relationship Id="rId2" Type="http://schemas.openxmlformats.org/officeDocument/2006/relationships/hyperlink" Target="mailto:=@npv(L8,K9)" TargetMode="External" /><Relationship Id="rId3" Type="http://schemas.openxmlformats.org/officeDocument/2006/relationships/hyperlink" Target="mailto:=@npv(L8,K9)" TargetMode="External" /><Relationship Id="rId4" Type="http://schemas.openxmlformats.org/officeDocument/2006/relationships/hyperlink" Target="mailto:=@npv(L8,K9)" TargetMode="External" /><Relationship Id="rId5" Type="http://schemas.openxmlformats.org/officeDocument/2006/relationships/hyperlink" Target="mailto:=@npv(L8,K9)" TargetMode="External" /><Relationship Id="rId6" Type="http://schemas.openxmlformats.org/officeDocument/2006/relationships/hyperlink" Target="mailto:=@npv(L8,K9)" TargetMode="External" /><Relationship Id="rId7" Type="http://schemas.openxmlformats.org/officeDocument/2006/relationships/hyperlink" Target="mailto:=@npv(L8,K9)" TargetMode="External" /><Relationship Id="rId8" Type="http://schemas.openxmlformats.org/officeDocument/2006/relationships/hyperlink" Target="mailto:=@npv(L8,K9)" TargetMode="External" /><Relationship Id="rId9" Type="http://schemas.openxmlformats.org/officeDocument/2006/relationships/hyperlink" Target="mailto:=@npv(L8,K9)" TargetMode="External" /><Relationship Id="rId10" Type="http://schemas.openxmlformats.org/officeDocument/2006/relationships/hyperlink" Target="mailto:=@npv(L8,K9)" TargetMode="External" /><Relationship Id="rId1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06"/>
  <sheetViews>
    <sheetView tabSelected="1" zoomScale="70" zoomScaleNormal="70" zoomScaleSheetLayoutView="25" workbookViewId="0" topLeftCell="A1">
      <pane xSplit="7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421875" style="15" customWidth="1"/>
    <col min="2" max="2" width="7.57421875" style="15" customWidth="1"/>
    <col min="3" max="5" width="9.140625" style="15" customWidth="1"/>
    <col min="6" max="6" width="10.8515625" style="15" customWidth="1"/>
    <col min="7" max="7" width="4.7109375" style="15" customWidth="1"/>
    <col min="8" max="9" width="12.28125" style="15" customWidth="1"/>
    <col min="10" max="10" width="11.28125" style="15" customWidth="1"/>
    <col min="11" max="11" width="14.421875" style="15" customWidth="1"/>
    <col min="12" max="12" width="5.421875" style="15" customWidth="1"/>
    <col min="13" max="13" width="10.57421875" style="329" customWidth="1"/>
    <col min="14" max="14" width="11.7109375" style="336" bestFit="1" customWidth="1"/>
    <col min="15" max="15" width="17.00390625" style="336" bestFit="1" customWidth="1"/>
    <col min="16" max="16" width="5.140625" style="98" customWidth="1"/>
    <col min="17" max="17" width="10.57421875" style="98" customWidth="1"/>
    <col min="18" max="18" width="10.28125" style="221" customWidth="1"/>
    <col min="19" max="19" width="17.00390625" style="98" bestFit="1" customWidth="1"/>
    <col min="20" max="20" width="5.421875" style="98" customWidth="1"/>
    <col min="21" max="21" width="10.57421875" style="98" customWidth="1"/>
    <col min="22" max="22" width="12.28125" style="98" customWidth="1"/>
    <col min="23" max="23" width="17.00390625" style="98" bestFit="1" customWidth="1"/>
    <col min="24" max="24" width="5.421875" style="98" customWidth="1"/>
    <col min="25" max="25" width="10.57421875" style="98" customWidth="1"/>
    <col min="26" max="26" width="12.28125" style="98" customWidth="1"/>
    <col min="27" max="27" width="17.57421875" style="98" bestFit="1" customWidth="1"/>
    <col min="28" max="28" width="5.421875" style="98" customWidth="1"/>
    <col min="29" max="29" width="10.57421875" style="98" customWidth="1"/>
    <col min="30" max="30" width="12.28125" style="98" customWidth="1"/>
    <col min="31" max="31" width="17.57421875" style="98" bestFit="1" customWidth="1"/>
    <col min="32" max="99" width="9.140625" style="98" customWidth="1"/>
    <col min="100" max="16384" width="9.140625" style="15" customWidth="1"/>
  </cols>
  <sheetData>
    <row r="1" spans="1:31" ht="12">
      <c r="A1" s="123" t="s">
        <v>204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28"/>
      <c r="N1" s="334"/>
      <c r="O1" s="335"/>
      <c r="P1" s="171"/>
      <c r="Q1" s="171"/>
      <c r="T1" s="171"/>
      <c r="U1" s="171"/>
      <c r="V1" s="171"/>
      <c r="W1" s="308"/>
      <c r="X1" s="171"/>
      <c r="Y1" s="171"/>
      <c r="Z1" s="171"/>
      <c r="AA1" s="308"/>
      <c r="AB1" s="171"/>
      <c r="AC1" s="171"/>
      <c r="AD1" s="171"/>
      <c r="AE1" s="308"/>
    </row>
    <row r="2" spans="1:31" ht="12">
      <c r="A2" s="7" t="s">
        <v>197</v>
      </c>
      <c r="B2" s="7"/>
      <c r="C2" s="7"/>
      <c r="D2" s="7"/>
      <c r="E2" s="7"/>
      <c r="F2" s="7"/>
      <c r="O2" s="337"/>
      <c r="W2" s="309"/>
      <c r="AA2" s="309"/>
      <c r="AE2" s="309"/>
    </row>
    <row r="3" spans="15:31" ht="11.25">
      <c r="O3" s="335"/>
      <c r="S3" s="221"/>
      <c r="T3" s="221"/>
      <c r="U3" s="221"/>
      <c r="V3" s="221"/>
      <c r="W3" s="221"/>
      <c r="AA3" s="310"/>
      <c r="AE3" s="310"/>
    </row>
    <row r="5" spans="1:31" ht="13.5">
      <c r="A5" s="82"/>
      <c r="B5" s="83"/>
      <c r="C5" s="515" t="s">
        <v>0</v>
      </c>
      <c r="D5" s="515"/>
      <c r="E5" s="83"/>
      <c r="F5" s="83"/>
      <c r="G5" s="83"/>
      <c r="H5" s="517" t="s">
        <v>198</v>
      </c>
      <c r="I5" s="518"/>
      <c r="J5" s="518"/>
      <c r="K5" s="518"/>
      <c r="L5" s="518"/>
      <c r="M5" s="518"/>
      <c r="N5" s="518"/>
      <c r="O5" s="518"/>
      <c r="P5" s="512" t="s">
        <v>174</v>
      </c>
      <c r="Q5" s="513"/>
      <c r="R5" s="513"/>
      <c r="S5" s="514"/>
      <c r="T5" s="513" t="s">
        <v>176</v>
      </c>
      <c r="U5" s="513"/>
      <c r="V5" s="513"/>
      <c r="W5" s="514"/>
      <c r="X5" s="512" t="s">
        <v>182</v>
      </c>
      <c r="Y5" s="513"/>
      <c r="Z5" s="513"/>
      <c r="AA5" s="514"/>
      <c r="AB5" s="512" t="s">
        <v>183</v>
      </c>
      <c r="AC5" s="513"/>
      <c r="AD5" s="513"/>
      <c r="AE5" s="514"/>
    </row>
    <row r="6" spans="1:31" ht="12">
      <c r="A6" s="8" t="s">
        <v>1</v>
      </c>
      <c r="B6" s="9"/>
      <c r="C6" s="516"/>
      <c r="D6" s="516"/>
      <c r="E6" s="9"/>
      <c r="F6" s="9"/>
      <c r="G6" s="9"/>
      <c r="H6" s="475" t="s">
        <v>68</v>
      </c>
      <c r="I6" s="476" t="s">
        <v>3</v>
      </c>
      <c r="J6" s="476" t="s">
        <v>4</v>
      </c>
      <c r="K6" s="477" t="s">
        <v>5</v>
      </c>
      <c r="L6" s="28" t="s">
        <v>6</v>
      </c>
      <c r="M6" s="330" t="s">
        <v>7</v>
      </c>
      <c r="N6" s="338" t="s">
        <v>8</v>
      </c>
      <c r="O6" s="428" t="s">
        <v>5</v>
      </c>
      <c r="P6" s="311" t="s">
        <v>6</v>
      </c>
      <c r="Q6" s="222" t="s">
        <v>7</v>
      </c>
      <c r="R6" s="224" t="s">
        <v>8</v>
      </c>
      <c r="S6" s="225" t="s">
        <v>5</v>
      </c>
      <c r="T6" s="223" t="s">
        <v>6</v>
      </c>
      <c r="U6" s="312" t="s">
        <v>7</v>
      </c>
      <c r="V6" s="312" t="s">
        <v>8</v>
      </c>
      <c r="W6" s="225" t="s">
        <v>5</v>
      </c>
      <c r="X6" s="311" t="s">
        <v>6</v>
      </c>
      <c r="Y6" s="312" t="s">
        <v>7</v>
      </c>
      <c r="Z6" s="312" t="s">
        <v>8</v>
      </c>
      <c r="AA6" s="225" t="s">
        <v>5</v>
      </c>
      <c r="AB6" s="311" t="s">
        <v>6</v>
      </c>
      <c r="AC6" s="312" t="s">
        <v>7</v>
      </c>
      <c r="AD6" s="312" t="s">
        <v>8</v>
      </c>
      <c r="AE6" s="225" t="s">
        <v>5</v>
      </c>
    </row>
    <row r="7" spans="1:31" ht="11.25">
      <c r="A7" s="84"/>
      <c r="H7" s="478"/>
      <c r="I7" s="87"/>
      <c r="J7" s="421"/>
      <c r="K7" s="479"/>
      <c r="L7" s="159"/>
      <c r="M7" s="331"/>
      <c r="N7" s="421"/>
      <c r="O7" s="32"/>
      <c r="P7" s="437"/>
      <c r="Q7" s="226"/>
      <c r="R7" s="227"/>
      <c r="S7" s="228"/>
      <c r="T7" s="191"/>
      <c r="U7" s="113"/>
      <c r="V7" s="113"/>
      <c r="W7" s="101"/>
      <c r="X7" s="229"/>
      <c r="Y7" s="113"/>
      <c r="Z7" s="113"/>
      <c r="AA7" s="101"/>
      <c r="AB7" s="229"/>
      <c r="AC7" s="113"/>
      <c r="AD7" s="113"/>
      <c r="AE7" s="101"/>
    </row>
    <row r="8" spans="1:31" ht="12">
      <c r="A8" s="85">
        <v>1</v>
      </c>
      <c r="B8" s="7" t="s">
        <v>186</v>
      </c>
      <c r="C8" s="7"/>
      <c r="D8" s="7"/>
      <c r="H8" s="478"/>
      <c r="I8" s="87"/>
      <c r="J8" s="87"/>
      <c r="K8" s="480"/>
      <c r="L8" s="159"/>
      <c r="M8" s="56"/>
      <c r="N8" s="87"/>
      <c r="O8" s="32"/>
      <c r="P8" s="124"/>
      <c r="Q8" s="230"/>
      <c r="R8" s="189"/>
      <c r="S8" s="101"/>
      <c r="T8" s="191"/>
      <c r="U8" s="230"/>
      <c r="V8" s="192"/>
      <c r="W8" s="101"/>
      <c r="X8" s="229"/>
      <c r="Y8" s="230"/>
      <c r="Z8" s="192"/>
      <c r="AA8" s="101"/>
      <c r="AB8" s="229"/>
      <c r="AC8" s="230"/>
      <c r="AD8" s="192"/>
      <c r="AE8" s="101"/>
    </row>
    <row r="9" spans="1:31" ht="12">
      <c r="A9" s="85" t="s">
        <v>116</v>
      </c>
      <c r="B9" s="15" t="s">
        <v>325</v>
      </c>
      <c r="D9" s="7"/>
      <c r="H9" s="478"/>
      <c r="I9" s="87"/>
      <c r="J9" s="87"/>
      <c r="K9" s="480"/>
      <c r="L9" s="159"/>
      <c r="M9" s="56"/>
      <c r="N9" s="87"/>
      <c r="O9" s="32"/>
      <c r="P9" s="124"/>
      <c r="Q9" s="230"/>
      <c r="R9" s="189"/>
      <c r="S9" s="190"/>
      <c r="T9" s="191"/>
      <c r="U9" s="230"/>
      <c r="V9" s="189"/>
      <c r="W9" s="190"/>
      <c r="X9" s="229"/>
      <c r="Y9" s="230"/>
      <c r="Z9" s="189"/>
      <c r="AA9" s="190"/>
      <c r="AB9" s="229"/>
      <c r="AC9" s="230"/>
      <c r="AD9" s="189"/>
      <c r="AE9" s="190"/>
    </row>
    <row r="10" spans="1:31" ht="11.25">
      <c r="A10" s="85"/>
      <c r="C10" s="15" t="s">
        <v>10</v>
      </c>
      <c r="G10" s="51"/>
      <c r="H10" s="481"/>
      <c r="I10" s="87"/>
      <c r="J10" s="87"/>
      <c r="K10" s="480"/>
      <c r="L10" s="159"/>
      <c r="M10" s="56"/>
      <c r="N10" s="87"/>
      <c r="O10" s="32"/>
      <c r="P10" s="124"/>
      <c r="Q10" s="113"/>
      <c r="R10" s="189"/>
      <c r="S10" s="190"/>
      <c r="T10" s="191"/>
      <c r="U10" s="113"/>
      <c r="V10" s="189"/>
      <c r="W10" s="190"/>
      <c r="X10" s="229"/>
      <c r="Y10" s="113"/>
      <c r="Z10" s="189"/>
      <c r="AA10" s="190"/>
      <c r="AB10" s="229"/>
      <c r="AC10" s="113"/>
      <c r="AD10" s="189"/>
      <c r="AE10" s="190"/>
    </row>
    <row r="11" spans="1:31" ht="11.25">
      <c r="A11" s="85" t="s">
        <v>117</v>
      </c>
      <c r="D11" s="15" t="s">
        <v>11</v>
      </c>
      <c r="H11" s="478">
        <f>86663</f>
        <v>86663</v>
      </c>
      <c r="I11" s="87">
        <v>117647</v>
      </c>
      <c r="J11" s="87">
        <v>250000</v>
      </c>
      <c r="K11" s="480">
        <f>H11+I11+J11</f>
        <v>454310</v>
      </c>
      <c r="L11" s="159" t="s">
        <v>213</v>
      </c>
      <c r="M11" s="56">
        <v>50000</v>
      </c>
      <c r="N11" s="107">
        <f>O11/M11</f>
        <v>9.0862</v>
      </c>
      <c r="O11" s="32">
        <f>K11</f>
        <v>454310</v>
      </c>
      <c r="P11" s="89" t="s">
        <v>213</v>
      </c>
      <c r="Q11" s="56">
        <v>50000</v>
      </c>
      <c r="R11" s="107">
        <f>S11/Q11</f>
        <v>9.0862</v>
      </c>
      <c r="S11" s="88">
        <f>O11</f>
        <v>454310</v>
      </c>
      <c r="T11" s="124" t="s">
        <v>213</v>
      </c>
      <c r="U11" s="230">
        <v>50000</v>
      </c>
      <c r="V11" s="242">
        <f>W11/U11</f>
        <v>9.0862</v>
      </c>
      <c r="W11" s="190">
        <f>S11</f>
        <v>454310</v>
      </c>
      <c r="X11" s="229" t="s">
        <v>213</v>
      </c>
      <c r="Y11" s="230">
        <v>50000</v>
      </c>
      <c r="Z11" s="242">
        <v>9.0862</v>
      </c>
      <c r="AA11" s="190">
        <v>454310</v>
      </c>
      <c r="AB11" s="229" t="s">
        <v>213</v>
      </c>
      <c r="AC11" s="230">
        <v>50000</v>
      </c>
      <c r="AD11" s="242">
        <v>9.0862</v>
      </c>
      <c r="AE11" s="190">
        <v>454310</v>
      </c>
    </row>
    <row r="12" spans="1:31" ht="11.25">
      <c r="A12" s="85" t="s">
        <v>118</v>
      </c>
      <c r="D12" s="15" t="s">
        <v>12</v>
      </c>
      <c r="H12" s="478"/>
      <c r="I12" s="87"/>
      <c r="J12" s="87"/>
      <c r="K12" s="480"/>
      <c r="L12" s="159"/>
      <c r="M12" s="56"/>
      <c r="N12" s="87"/>
      <c r="O12" s="32"/>
      <c r="P12" s="89"/>
      <c r="Q12" s="56"/>
      <c r="R12" s="87"/>
      <c r="S12" s="88"/>
      <c r="T12" s="124"/>
      <c r="U12" s="230"/>
      <c r="V12" s="189"/>
      <c r="W12" s="190"/>
      <c r="X12" s="229"/>
      <c r="Y12" s="230"/>
      <c r="Z12" s="189"/>
      <c r="AA12" s="190"/>
      <c r="AB12" s="229"/>
      <c r="AC12" s="230"/>
      <c r="AD12" s="189"/>
      <c r="AE12" s="190"/>
    </row>
    <row r="13" spans="1:31" ht="11.25">
      <c r="A13" s="85" t="s">
        <v>119</v>
      </c>
      <c r="D13" s="15" t="s">
        <v>13</v>
      </c>
      <c r="H13" s="478">
        <f>46443+111407</f>
        <v>157850</v>
      </c>
      <c r="I13" s="87">
        <f>70730+171344</f>
        <v>242074</v>
      </c>
      <c r="J13" s="87">
        <v>78000</v>
      </c>
      <c r="K13" s="480">
        <f>H13+I13+J13</f>
        <v>477924</v>
      </c>
      <c r="L13" s="159" t="s">
        <v>213</v>
      </c>
      <c r="M13" s="56">
        <f>15600+62000</f>
        <v>77600</v>
      </c>
      <c r="N13" s="107">
        <f>O13/M13</f>
        <v>6.158814432989691</v>
      </c>
      <c r="O13" s="32">
        <f>K13</f>
        <v>477924</v>
      </c>
      <c r="P13" s="89" t="s">
        <v>213</v>
      </c>
      <c r="Q13" s="56">
        <f>15600+62000</f>
        <v>77600</v>
      </c>
      <c r="R13" s="107">
        <f>S13/Q13</f>
        <v>6.158814432989691</v>
      </c>
      <c r="S13" s="88">
        <f>O13</f>
        <v>477924</v>
      </c>
      <c r="T13" s="124" t="s">
        <v>213</v>
      </c>
      <c r="U13" s="230">
        <f>15600+62000</f>
        <v>77600</v>
      </c>
      <c r="V13" s="242">
        <f>W13/U13</f>
        <v>6.158814432989691</v>
      </c>
      <c r="W13" s="190">
        <f>S13</f>
        <v>477924</v>
      </c>
      <c r="X13" s="229" t="s">
        <v>213</v>
      </c>
      <c r="Y13" s="230">
        <v>77600</v>
      </c>
      <c r="Z13" s="242">
        <v>6.158814432989691</v>
      </c>
      <c r="AA13" s="190">
        <v>477924</v>
      </c>
      <c r="AB13" s="229" t="s">
        <v>213</v>
      </c>
      <c r="AC13" s="230">
        <v>77600</v>
      </c>
      <c r="AD13" s="242">
        <v>6.158814432989691</v>
      </c>
      <c r="AE13" s="190">
        <v>477924</v>
      </c>
    </row>
    <row r="14" spans="1:31" ht="11.25">
      <c r="A14" s="85" t="s">
        <v>120</v>
      </c>
      <c r="D14" s="15" t="s">
        <v>14</v>
      </c>
      <c r="H14" s="478">
        <v>58548</v>
      </c>
      <c r="I14" s="87">
        <v>89652</v>
      </c>
      <c r="J14" s="87">
        <v>0</v>
      </c>
      <c r="K14" s="480">
        <f>H14+I14+J14</f>
        <v>148200</v>
      </c>
      <c r="L14" s="159" t="s">
        <v>213</v>
      </c>
      <c r="M14" s="56">
        <v>31000</v>
      </c>
      <c r="N14" s="107">
        <f>O14/M14</f>
        <v>4.780645161290322</v>
      </c>
      <c r="O14" s="32">
        <f>K14</f>
        <v>148200</v>
      </c>
      <c r="P14" s="89" t="s">
        <v>213</v>
      </c>
      <c r="Q14" s="56">
        <v>31000</v>
      </c>
      <c r="R14" s="107">
        <f>S14/Q14</f>
        <v>4.780645161290322</v>
      </c>
      <c r="S14" s="88">
        <f>O14</f>
        <v>148200</v>
      </c>
      <c r="T14" s="124" t="s">
        <v>213</v>
      </c>
      <c r="U14" s="230">
        <f>Q14*2</f>
        <v>62000</v>
      </c>
      <c r="V14" s="242">
        <f>R14*2</f>
        <v>9.561290322580644</v>
      </c>
      <c r="W14" s="190">
        <f>U14*V14</f>
        <v>592800</v>
      </c>
      <c r="X14" s="229" t="s">
        <v>213</v>
      </c>
      <c r="Y14" s="230">
        <v>62000</v>
      </c>
      <c r="Z14" s="242">
        <v>9.561290322580644</v>
      </c>
      <c r="AA14" s="190">
        <v>592800</v>
      </c>
      <c r="AB14" s="229" t="s">
        <v>213</v>
      </c>
      <c r="AC14" s="230">
        <v>62000</v>
      </c>
      <c r="AD14" s="242">
        <v>9.561290322580644</v>
      </c>
      <c r="AE14" s="190">
        <v>592800</v>
      </c>
    </row>
    <row r="15" spans="1:31" ht="11.25">
      <c r="A15" s="85"/>
      <c r="C15" s="15" t="s">
        <v>15</v>
      </c>
      <c r="H15" s="481"/>
      <c r="I15" s="87"/>
      <c r="J15" s="87"/>
      <c r="K15" s="480"/>
      <c r="L15" s="159"/>
      <c r="M15" s="56"/>
      <c r="N15" s="87"/>
      <c r="O15" s="32"/>
      <c r="P15" s="89"/>
      <c r="Q15" s="84"/>
      <c r="R15" s="87"/>
      <c r="S15" s="88"/>
      <c r="T15" s="51"/>
      <c r="U15" s="84"/>
      <c r="V15" s="87"/>
      <c r="W15" s="88"/>
      <c r="X15" s="229"/>
      <c r="Y15" s="113"/>
      <c r="Z15" s="189"/>
      <c r="AA15" s="190"/>
      <c r="AB15" s="229"/>
      <c r="AC15" s="113"/>
      <c r="AD15" s="189"/>
      <c r="AE15" s="190"/>
    </row>
    <row r="16" spans="1:31" ht="11.25">
      <c r="A16" s="85" t="s">
        <v>121</v>
      </c>
      <c r="D16" s="15" t="s">
        <v>11</v>
      </c>
      <c r="H16" s="478"/>
      <c r="I16" s="87"/>
      <c r="J16" s="87"/>
      <c r="K16" s="480"/>
      <c r="L16" s="159"/>
      <c r="M16" s="56"/>
      <c r="N16" s="87"/>
      <c r="O16" s="32"/>
      <c r="P16" s="89"/>
      <c r="Q16" s="56"/>
      <c r="R16" s="87"/>
      <c r="S16" s="88"/>
      <c r="T16" s="51"/>
      <c r="U16" s="56"/>
      <c r="V16" s="87"/>
      <c r="W16" s="88"/>
      <c r="X16" s="229"/>
      <c r="Y16" s="230"/>
      <c r="Z16" s="189"/>
      <c r="AA16" s="190"/>
      <c r="AB16" s="229"/>
      <c r="AC16" s="230"/>
      <c r="AD16" s="189"/>
      <c r="AE16" s="190"/>
    </row>
    <row r="17" spans="1:31" ht="11.25">
      <c r="A17" s="85" t="s">
        <v>122</v>
      </c>
      <c r="D17" s="15" t="s">
        <v>12</v>
      </c>
      <c r="H17" s="478"/>
      <c r="I17" s="87"/>
      <c r="J17" s="87"/>
      <c r="K17" s="480"/>
      <c r="L17" s="159"/>
      <c r="M17" s="56"/>
      <c r="N17" s="87"/>
      <c r="O17" s="32"/>
      <c r="P17" s="89"/>
      <c r="Q17" s="56"/>
      <c r="R17" s="87"/>
      <c r="S17" s="88"/>
      <c r="T17" s="53"/>
      <c r="U17" s="120"/>
      <c r="V17" s="87"/>
      <c r="W17" s="88"/>
      <c r="X17" s="229"/>
      <c r="Y17" s="230"/>
      <c r="Z17" s="189"/>
      <c r="AA17" s="190"/>
      <c r="AB17" s="229"/>
      <c r="AC17" s="230"/>
      <c r="AD17" s="189"/>
      <c r="AE17" s="190"/>
    </row>
    <row r="18" spans="1:31" ht="11.25">
      <c r="A18" s="85" t="s">
        <v>123</v>
      </c>
      <c r="D18" s="15" t="s">
        <v>13</v>
      </c>
      <c r="H18" s="478"/>
      <c r="I18" s="87"/>
      <c r="J18" s="87"/>
      <c r="K18" s="480"/>
      <c r="L18" s="159"/>
      <c r="M18" s="56"/>
      <c r="N18" s="87"/>
      <c r="O18" s="32"/>
      <c r="P18" s="89"/>
      <c r="Q18" s="56"/>
      <c r="R18" s="87"/>
      <c r="S18" s="88"/>
      <c r="T18" s="53"/>
      <c r="U18" s="120"/>
      <c r="V18" s="87"/>
      <c r="W18" s="88"/>
      <c r="X18" s="229"/>
      <c r="Y18" s="230"/>
      <c r="Z18" s="189"/>
      <c r="AA18" s="190"/>
      <c r="AB18" s="229"/>
      <c r="AC18" s="230"/>
      <c r="AD18" s="189"/>
      <c r="AE18" s="190"/>
    </row>
    <row r="19" spans="1:31" ht="11.25">
      <c r="A19" s="85" t="s">
        <v>124</v>
      </c>
      <c r="D19" s="15" t="s">
        <v>14</v>
      </c>
      <c r="H19" s="478"/>
      <c r="I19" s="87"/>
      <c r="J19" s="87"/>
      <c r="K19" s="480"/>
      <c r="L19" s="159"/>
      <c r="M19" s="56"/>
      <c r="N19" s="87"/>
      <c r="O19" s="32"/>
      <c r="P19" s="89"/>
      <c r="Q19" s="56"/>
      <c r="R19" s="87"/>
      <c r="S19" s="88"/>
      <c r="T19" s="53"/>
      <c r="U19" s="120"/>
      <c r="V19" s="87"/>
      <c r="W19" s="88"/>
      <c r="X19" s="229"/>
      <c r="Y19" s="230"/>
      <c r="Z19" s="189"/>
      <c r="AA19" s="190"/>
      <c r="AB19" s="229"/>
      <c r="AC19" s="230"/>
      <c r="AD19" s="189"/>
      <c r="AE19" s="190"/>
    </row>
    <row r="20" spans="1:31" ht="11.25">
      <c r="A20" s="85"/>
      <c r="C20" s="15" t="s">
        <v>16</v>
      </c>
      <c r="H20" s="478">
        <f>SUM(H10:H19)</f>
        <v>303061</v>
      </c>
      <c r="I20" s="87">
        <f>SUM(I10:I19)</f>
        <v>449373</v>
      </c>
      <c r="J20" s="87">
        <f>SUM(J10:J19)</f>
        <v>328000</v>
      </c>
      <c r="K20" s="480">
        <f>SUM(K10:K19)</f>
        <v>1080434</v>
      </c>
      <c r="L20" s="159" t="s">
        <v>213</v>
      </c>
      <c r="M20" s="56">
        <f>M11+M13+M14</f>
        <v>158600</v>
      </c>
      <c r="N20" s="107">
        <f>O20/M20</f>
        <v>6.812320302648171</v>
      </c>
      <c r="O20" s="32">
        <f>SUM(O10:O19)</f>
        <v>1080434</v>
      </c>
      <c r="P20" s="89" t="s">
        <v>213</v>
      </c>
      <c r="Q20" s="56">
        <f>Q11+Q13+Q14</f>
        <v>158600</v>
      </c>
      <c r="R20" s="107">
        <f>S20/Q20</f>
        <v>6.812320302648171</v>
      </c>
      <c r="S20" s="88">
        <f>SUM(S10:S19)</f>
        <v>1080434</v>
      </c>
      <c r="T20" s="53" t="s">
        <v>213</v>
      </c>
      <c r="U20" s="120">
        <f>U11+U13+U14</f>
        <v>189600</v>
      </c>
      <c r="V20" s="107">
        <f>W20/U20</f>
        <v>8.043428270042194</v>
      </c>
      <c r="W20" s="88">
        <f>SUM(W10:W19)</f>
        <v>1525034</v>
      </c>
      <c r="X20" s="229" t="s">
        <v>213</v>
      </c>
      <c r="Y20" s="230">
        <f>Y11+Y13+Y14</f>
        <v>189600</v>
      </c>
      <c r="Z20" s="242">
        <f>AA20/Y20</f>
        <v>8.043428270042194</v>
      </c>
      <c r="AA20" s="190">
        <f>SUM(AA10:AA19)</f>
        <v>1525034</v>
      </c>
      <c r="AB20" s="229" t="s">
        <v>213</v>
      </c>
      <c r="AC20" s="230">
        <f>AC11+AC13+AC14</f>
        <v>189600</v>
      </c>
      <c r="AD20" s="242">
        <f>AE20/AC20</f>
        <v>8.043428270042194</v>
      </c>
      <c r="AE20" s="190">
        <f>SUM(AE10:AE19)</f>
        <v>1525034</v>
      </c>
    </row>
    <row r="21" spans="1:31" ht="11.25">
      <c r="A21" s="85"/>
      <c r="C21" s="15" t="s">
        <v>10</v>
      </c>
      <c r="H21" s="478"/>
      <c r="I21" s="87"/>
      <c r="J21" s="87"/>
      <c r="K21" s="480"/>
      <c r="L21" s="159"/>
      <c r="M21" s="56"/>
      <c r="N21" s="87"/>
      <c r="O21" s="32"/>
      <c r="P21" s="89"/>
      <c r="Q21" s="56"/>
      <c r="R21" s="87"/>
      <c r="S21" s="88"/>
      <c r="T21" s="53"/>
      <c r="U21" s="120"/>
      <c r="V21" s="87"/>
      <c r="W21" s="88"/>
      <c r="X21" s="229"/>
      <c r="Y21" s="230"/>
      <c r="Z21" s="189"/>
      <c r="AA21" s="190"/>
      <c r="AB21" s="229"/>
      <c r="AC21" s="230"/>
      <c r="AD21" s="189"/>
      <c r="AE21" s="190"/>
    </row>
    <row r="22" spans="1:31" ht="11.25">
      <c r="A22" s="85" t="s">
        <v>125</v>
      </c>
      <c r="D22" s="15" t="s">
        <v>17</v>
      </c>
      <c r="H22" s="478"/>
      <c r="I22" s="87"/>
      <c r="J22" s="87"/>
      <c r="K22" s="480"/>
      <c r="L22" s="159"/>
      <c r="M22" s="56"/>
      <c r="N22" s="87"/>
      <c r="O22" s="32"/>
      <c r="P22" s="89"/>
      <c r="Q22" s="56"/>
      <c r="R22" s="87"/>
      <c r="S22" s="88"/>
      <c r="T22" s="53"/>
      <c r="U22" s="120"/>
      <c r="V22" s="87"/>
      <c r="W22" s="88"/>
      <c r="X22" s="229"/>
      <c r="Y22" s="230"/>
      <c r="Z22" s="189"/>
      <c r="AA22" s="190"/>
      <c r="AB22" s="229"/>
      <c r="AC22" s="230"/>
      <c r="AD22" s="189"/>
      <c r="AE22" s="190"/>
    </row>
    <row r="23" spans="1:31" ht="11.25">
      <c r="A23" s="85" t="s">
        <v>126</v>
      </c>
      <c r="D23" s="15" t="s">
        <v>18</v>
      </c>
      <c r="H23" s="478"/>
      <c r="I23" s="87"/>
      <c r="J23" s="87"/>
      <c r="K23" s="480"/>
      <c r="L23" s="159"/>
      <c r="M23" s="56"/>
      <c r="N23" s="87"/>
      <c r="O23" s="32"/>
      <c r="P23" s="89"/>
      <c r="Q23" s="56"/>
      <c r="R23" s="87"/>
      <c r="S23" s="88"/>
      <c r="T23" s="53" t="s">
        <v>214</v>
      </c>
      <c r="U23" s="120">
        <f>U14</f>
        <v>62000</v>
      </c>
      <c r="V23" s="107">
        <v>0.31</v>
      </c>
      <c r="W23" s="88">
        <f>U23*V23</f>
        <v>19220</v>
      </c>
      <c r="X23" s="229" t="s">
        <v>214</v>
      </c>
      <c r="Y23" s="230">
        <v>62000</v>
      </c>
      <c r="Z23" s="242">
        <v>0.31</v>
      </c>
      <c r="AA23" s="190">
        <v>19220</v>
      </c>
      <c r="AB23" s="229" t="s">
        <v>214</v>
      </c>
      <c r="AC23" s="230">
        <v>62000</v>
      </c>
      <c r="AD23" s="242">
        <v>0.31</v>
      </c>
      <c r="AE23" s="190">
        <v>19220</v>
      </c>
    </row>
    <row r="24" spans="1:31" ht="11.25">
      <c r="A24" s="85"/>
      <c r="C24" s="15" t="s">
        <v>15</v>
      </c>
      <c r="H24" s="478"/>
      <c r="I24" s="87"/>
      <c r="J24" s="87"/>
      <c r="K24" s="480"/>
      <c r="L24" s="159"/>
      <c r="M24" s="56"/>
      <c r="N24" s="87"/>
      <c r="O24" s="32"/>
      <c r="P24" s="89"/>
      <c r="Q24" s="56"/>
      <c r="R24" s="87"/>
      <c r="S24" s="88"/>
      <c r="T24" s="53"/>
      <c r="U24" s="120"/>
      <c r="V24" s="87"/>
      <c r="W24" s="88"/>
      <c r="X24" s="229"/>
      <c r="Y24" s="230"/>
      <c r="Z24" s="189"/>
      <c r="AA24" s="190"/>
      <c r="AB24" s="229"/>
      <c r="AC24" s="230"/>
      <c r="AD24" s="189"/>
      <c r="AE24" s="190"/>
    </row>
    <row r="25" spans="1:31" ht="11.25">
      <c r="A25" s="85" t="s">
        <v>127</v>
      </c>
      <c r="D25" s="15" t="s">
        <v>17</v>
      </c>
      <c r="H25" s="478"/>
      <c r="I25" s="87"/>
      <c r="J25" s="87"/>
      <c r="K25" s="480"/>
      <c r="L25" s="159"/>
      <c r="M25" s="56"/>
      <c r="N25" s="87"/>
      <c r="O25" s="32"/>
      <c r="P25" s="89"/>
      <c r="Q25" s="56"/>
      <c r="R25" s="87"/>
      <c r="S25" s="88"/>
      <c r="T25" s="53"/>
      <c r="U25" s="120"/>
      <c r="V25" s="87"/>
      <c r="W25" s="88"/>
      <c r="X25" s="229"/>
      <c r="Y25" s="230"/>
      <c r="Z25" s="189"/>
      <c r="AA25" s="190"/>
      <c r="AB25" s="229"/>
      <c r="AC25" s="230"/>
      <c r="AD25" s="189"/>
      <c r="AE25" s="190"/>
    </row>
    <row r="26" spans="1:31" ht="11.25">
      <c r="A26" s="85" t="s">
        <v>128</v>
      </c>
      <c r="D26" s="15" t="s">
        <v>19</v>
      </c>
      <c r="H26" s="481"/>
      <c r="I26" s="87"/>
      <c r="J26" s="87"/>
      <c r="K26" s="480"/>
      <c r="L26" s="159"/>
      <c r="M26" s="56"/>
      <c r="N26" s="87"/>
      <c r="O26" s="32"/>
      <c r="P26" s="89"/>
      <c r="Q26" s="56"/>
      <c r="R26" s="87"/>
      <c r="S26" s="88"/>
      <c r="T26" s="53"/>
      <c r="U26" s="120"/>
      <c r="V26" s="87"/>
      <c r="W26" s="88"/>
      <c r="X26" s="229"/>
      <c r="Y26" s="230"/>
      <c r="Z26" s="189"/>
      <c r="AA26" s="190"/>
      <c r="AB26" s="229"/>
      <c r="AC26" s="230"/>
      <c r="AD26" s="189"/>
      <c r="AE26" s="190"/>
    </row>
    <row r="27" spans="1:31" ht="11.25">
      <c r="A27" s="85"/>
      <c r="C27" s="15" t="s">
        <v>20</v>
      </c>
      <c r="H27" s="478">
        <f>SUM(H21:H26)</f>
        <v>0</v>
      </c>
      <c r="I27" s="87">
        <f>SUM(I21:I26)</f>
        <v>0</v>
      </c>
      <c r="J27" s="87">
        <f>SUM(J21:J26)</f>
        <v>0</v>
      </c>
      <c r="K27" s="480">
        <f>SUM(K21:K26)</f>
        <v>0</v>
      </c>
      <c r="L27" s="159"/>
      <c r="M27" s="56"/>
      <c r="N27" s="87"/>
      <c r="O27" s="32">
        <f>SUM(O21:O26)</f>
        <v>0</v>
      </c>
      <c r="P27" s="89"/>
      <c r="Q27" s="56"/>
      <c r="R27" s="87"/>
      <c r="S27" s="88">
        <f>SUM(S21:S26)</f>
        <v>0</v>
      </c>
      <c r="T27" s="53" t="s">
        <v>214</v>
      </c>
      <c r="U27" s="120">
        <f>U23</f>
        <v>62000</v>
      </c>
      <c r="V27" s="107">
        <v>0.31</v>
      </c>
      <c r="W27" s="88">
        <f>SUM(W21:W26)</f>
        <v>19220</v>
      </c>
      <c r="X27" s="229" t="s">
        <v>214</v>
      </c>
      <c r="Y27" s="230">
        <f>Y23</f>
        <v>62000</v>
      </c>
      <c r="Z27" s="242">
        <v>0.31</v>
      </c>
      <c r="AA27" s="190">
        <f>SUM(AA21:AA26)</f>
        <v>19220</v>
      </c>
      <c r="AB27" s="229" t="s">
        <v>214</v>
      </c>
      <c r="AC27" s="230">
        <f>AC23</f>
        <v>62000</v>
      </c>
      <c r="AD27" s="242">
        <v>0.31</v>
      </c>
      <c r="AE27" s="190">
        <f>SUM(AE21:AE26)</f>
        <v>19220</v>
      </c>
    </row>
    <row r="28" spans="1:31" ht="11.25">
      <c r="A28" s="85"/>
      <c r="B28" s="15" t="s">
        <v>326</v>
      </c>
      <c r="H28" s="478">
        <f>H20+H27</f>
        <v>303061</v>
      </c>
      <c r="I28" s="87">
        <f>I20+I27</f>
        <v>449373</v>
      </c>
      <c r="J28" s="87">
        <f>J20+J27</f>
        <v>328000</v>
      </c>
      <c r="K28" s="480">
        <f>K20+K27</f>
        <v>1080434</v>
      </c>
      <c r="L28" s="159" t="s">
        <v>213</v>
      </c>
      <c r="M28" s="56">
        <f>M20</f>
        <v>158600</v>
      </c>
      <c r="N28" s="107">
        <f>O28/M28</f>
        <v>6.812320302648171</v>
      </c>
      <c r="O28" s="32">
        <f>O20+O27</f>
        <v>1080434</v>
      </c>
      <c r="P28" s="89" t="s">
        <v>213</v>
      </c>
      <c r="Q28" s="56">
        <f>Q20</f>
        <v>158600</v>
      </c>
      <c r="R28" s="107">
        <f>S28/Q28</f>
        <v>6.812320302648171</v>
      </c>
      <c r="S28" s="88">
        <f>S20+S27</f>
        <v>1080434</v>
      </c>
      <c r="T28" s="89" t="s">
        <v>213</v>
      </c>
      <c r="U28" s="56">
        <f>U20</f>
        <v>189600</v>
      </c>
      <c r="V28" s="107">
        <f>W28/U28</f>
        <v>8.144799578059072</v>
      </c>
      <c r="W28" s="88">
        <f>W20+W27</f>
        <v>1544254</v>
      </c>
      <c r="X28" s="229" t="s">
        <v>213</v>
      </c>
      <c r="Y28" s="230">
        <f>Y20</f>
        <v>189600</v>
      </c>
      <c r="Z28" s="242">
        <f>AA28/Y28</f>
        <v>8.144799578059072</v>
      </c>
      <c r="AA28" s="190">
        <f>AA20+AA27</f>
        <v>1544254</v>
      </c>
      <c r="AB28" s="229" t="s">
        <v>213</v>
      </c>
      <c r="AC28" s="230">
        <f>AC20</f>
        <v>189600</v>
      </c>
      <c r="AD28" s="242">
        <f>AE28/AC28</f>
        <v>8.144799578059072</v>
      </c>
      <c r="AE28" s="190">
        <f>AE20+AE27</f>
        <v>1544254</v>
      </c>
    </row>
    <row r="29" spans="1:31" ht="11.25">
      <c r="A29" s="85"/>
      <c r="H29" s="478"/>
      <c r="I29" s="87"/>
      <c r="J29" s="87"/>
      <c r="K29" s="480"/>
      <c r="L29" s="159"/>
      <c r="M29" s="56"/>
      <c r="N29" s="87"/>
      <c r="O29" s="32"/>
      <c r="P29" s="89"/>
      <c r="Q29" s="56"/>
      <c r="R29" s="87"/>
      <c r="S29" s="88"/>
      <c r="T29" s="53"/>
      <c r="U29" s="120"/>
      <c r="V29" s="87"/>
      <c r="W29" s="88"/>
      <c r="X29" s="229"/>
      <c r="Y29" s="230"/>
      <c r="Z29" s="189"/>
      <c r="AA29" s="190"/>
      <c r="AB29" s="229"/>
      <c r="AC29" s="230"/>
      <c r="AD29" s="189"/>
      <c r="AE29" s="190"/>
    </row>
    <row r="30" spans="1:31" ht="11.25">
      <c r="A30" s="85" t="s">
        <v>188</v>
      </c>
      <c r="B30" s="15" t="s">
        <v>323</v>
      </c>
      <c r="H30" s="478"/>
      <c r="I30" s="87"/>
      <c r="J30" s="87"/>
      <c r="K30" s="480"/>
      <c r="L30" s="159"/>
      <c r="M30" s="56"/>
      <c r="N30" s="87"/>
      <c r="O30" s="32"/>
      <c r="P30" s="89"/>
      <c r="Q30" s="56"/>
      <c r="R30" s="87"/>
      <c r="S30" s="88"/>
      <c r="T30" s="53"/>
      <c r="U30" s="120"/>
      <c r="V30" s="87"/>
      <c r="W30" s="88"/>
      <c r="X30" s="229"/>
      <c r="Y30" s="230"/>
      <c r="Z30" s="189"/>
      <c r="AA30" s="190"/>
      <c r="AB30" s="229"/>
      <c r="AC30" s="230"/>
      <c r="AD30" s="189"/>
      <c r="AE30" s="190"/>
    </row>
    <row r="31" spans="1:31" ht="12">
      <c r="A31" s="85" t="s">
        <v>369</v>
      </c>
      <c r="C31" s="15" t="s">
        <v>31</v>
      </c>
      <c r="D31" s="7"/>
      <c r="H31" s="478">
        <v>5412</v>
      </c>
      <c r="I31" s="87">
        <v>7034</v>
      </c>
      <c r="J31" s="87">
        <v>0</v>
      </c>
      <c r="K31" s="480">
        <f>H31+I31+J31</f>
        <v>12446</v>
      </c>
      <c r="L31" s="159" t="s">
        <v>208</v>
      </c>
      <c r="M31" s="56">
        <v>1</v>
      </c>
      <c r="N31" s="87">
        <f>O31/M31</f>
        <v>12446</v>
      </c>
      <c r="O31" s="32">
        <f>K31</f>
        <v>12446</v>
      </c>
      <c r="P31" s="89" t="s">
        <v>208</v>
      </c>
      <c r="Q31" s="56">
        <v>1</v>
      </c>
      <c r="R31" s="87">
        <f>S31/Q31</f>
        <v>12446</v>
      </c>
      <c r="S31" s="88">
        <f>O31</f>
        <v>12446</v>
      </c>
      <c r="T31" s="191" t="s">
        <v>208</v>
      </c>
      <c r="U31" s="230">
        <v>1</v>
      </c>
      <c r="V31" s="189">
        <f>W31/U31</f>
        <v>12446</v>
      </c>
      <c r="W31" s="190">
        <f>S31</f>
        <v>12446</v>
      </c>
      <c r="X31" s="229" t="s">
        <v>208</v>
      </c>
      <c r="Y31" s="230">
        <v>1</v>
      </c>
      <c r="Z31" s="189">
        <v>12446</v>
      </c>
      <c r="AA31" s="190">
        <v>12446</v>
      </c>
      <c r="AB31" s="229" t="s">
        <v>208</v>
      </c>
      <c r="AC31" s="230">
        <v>1</v>
      </c>
      <c r="AD31" s="189">
        <v>12446</v>
      </c>
      <c r="AE31" s="190">
        <v>12446</v>
      </c>
    </row>
    <row r="32" spans="1:31" ht="12">
      <c r="A32" s="85"/>
      <c r="C32" s="7"/>
      <c r="D32" s="7"/>
      <c r="H32" s="478"/>
      <c r="I32" s="87"/>
      <c r="J32" s="87"/>
      <c r="K32" s="480"/>
      <c r="L32" s="159"/>
      <c r="M32" s="56"/>
      <c r="N32" s="87"/>
      <c r="O32" s="32"/>
      <c r="P32" s="124"/>
      <c r="Q32" s="230"/>
      <c r="R32" s="189"/>
      <c r="S32" s="190"/>
      <c r="T32" s="191"/>
      <c r="U32" s="230"/>
      <c r="V32" s="189"/>
      <c r="W32" s="190"/>
      <c r="X32" s="229"/>
      <c r="Y32" s="230"/>
      <c r="Z32" s="189"/>
      <c r="AA32" s="190"/>
      <c r="AB32" s="229"/>
      <c r="AC32" s="230"/>
      <c r="AD32" s="189"/>
      <c r="AE32" s="190"/>
    </row>
    <row r="33" spans="1:31" ht="11.25">
      <c r="A33" s="85" t="s">
        <v>189</v>
      </c>
      <c r="B33" s="98" t="s">
        <v>354</v>
      </c>
      <c r="C33" s="98"/>
      <c r="H33" s="478"/>
      <c r="I33" s="87"/>
      <c r="J33" s="87"/>
      <c r="K33" s="480"/>
      <c r="L33" s="159"/>
      <c r="M33" s="56"/>
      <c r="N33" s="87"/>
      <c r="O33" s="32"/>
      <c r="P33" s="89"/>
      <c r="Q33" s="84"/>
      <c r="R33" s="87"/>
      <c r="S33" s="33"/>
      <c r="T33" s="191"/>
      <c r="U33" s="113"/>
      <c r="V33" s="189"/>
      <c r="W33" s="36"/>
      <c r="X33" s="229"/>
      <c r="Y33" s="113"/>
      <c r="Z33" s="189"/>
      <c r="AA33" s="36"/>
      <c r="AB33" s="229"/>
      <c r="AC33" s="113"/>
      <c r="AD33" s="189"/>
      <c r="AE33" s="36"/>
    </row>
    <row r="34" spans="1:31" ht="11.25">
      <c r="A34" s="85"/>
      <c r="C34" s="15" t="s">
        <v>31</v>
      </c>
      <c r="H34" s="481"/>
      <c r="I34" s="84"/>
      <c r="J34" s="84"/>
      <c r="K34" s="482"/>
      <c r="L34" s="159"/>
      <c r="M34" s="56"/>
      <c r="N34" s="87"/>
      <c r="O34" s="32"/>
      <c r="P34" s="89"/>
      <c r="Q34" s="84"/>
      <c r="R34" s="87"/>
      <c r="S34" s="33"/>
      <c r="T34" s="191"/>
      <c r="U34" s="113"/>
      <c r="V34" s="189"/>
      <c r="W34" s="36"/>
      <c r="X34" s="229"/>
      <c r="Y34" s="113"/>
      <c r="Z34" s="189"/>
      <c r="AA34" s="36"/>
      <c r="AB34" s="229"/>
      <c r="AC34" s="113"/>
      <c r="AD34" s="189"/>
      <c r="AE34" s="36"/>
    </row>
    <row r="35" spans="1:31" ht="11.25">
      <c r="A35" s="85" t="s">
        <v>370</v>
      </c>
      <c r="D35" s="15" t="s">
        <v>177</v>
      </c>
      <c r="H35" s="478">
        <f>371+174+5649+2318+2897+541+650</f>
        <v>12600</v>
      </c>
      <c r="I35" s="87">
        <f>174+81+2646+3257+1357+703</f>
        <v>8218</v>
      </c>
      <c r="J35" s="87">
        <v>0</v>
      </c>
      <c r="K35" s="480">
        <f>H35+I35+J35</f>
        <v>20818</v>
      </c>
      <c r="L35" s="159" t="s">
        <v>208</v>
      </c>
      <c r="M35" s="56">
        <v>658</v>
      </c>
      <c r="N35" s="107">
        <f>O35/M35</f>
        <v>31.638297872340427</v>
      </c>
      <c r="O35" s="32">
        <f>K35</f>
        <v>20818</v>
      </c>
      <c r="P35" s="89" t="s">
        <v>208</v>
      </c>
      <c r="Q35" s="56">
        <v>658</v>
      </c>
      <c r="R35" s="107">
        <f>S35/Q35</f>
        <v>31.638297872340427</v>
      </c>
      <c r="S35" s="88">
        <f>O35</f>
        <v>20818</v>
      </c>
      <c r="T35" s="89" t="s">
        <v>208</v>
      </c>
      <c r="U35" s="56">
        <v>658</v>
      </c>
      <c r="V35" s="107">
        <f>W35/U35</f>
        <v>31.638297872340427</v>
      </c>
      <c r="W35" s="88">
        <f>S35</f>
        <v>20818</v>
      </c>
      <c r="X35" s="229" t="s">
        <v>208</v>
      </c>
      <c r="Y35" s="113">
        <v>658</v>
      </c>
      <c r="Z35" s="242">
        <v>31.638297872340427</v>
      </c>
      <c r="AA35" s="36">
        <v>20818</v>
      </c>
      <c r="AB35" s="229" t="s">
        <v>208</v>
      </c>
      <c r="AC35" s="113">
        <v>658</v>
      </c>
      <c r="AD35" s="242">
        <v>31.638297872340427</v>
      </c>
      <c r="AE35" s="36">
        <v>20818</v>
      </c>
    </row>
    <row r="36" spans="1:31" ht="11.25">
      <c r="A36" s="85" t="s">
        <v>371</v>
      </c>
      <c r="D36" s="15" t="s">
        <v>178</v>
      </c>
      <c r="H36" s="478">
        <v>6953</v>
      </c>
      <c r="I36" s="87">
        <v>1086</v>
      </c>
      <c r="J36" s="87">
        <v>0</v>
      </c>
      <c r="K36" s="480">
        <f>H36+I36+J36</f>
        <v>8039</v>
      </c>
      <c r="L36" s="159" t="s">
        <v>213</v>
      </c>
      <c r="M36" s="56">
        <v>100</v>
      </c>
      <c r="N36" s="107">
        <f>O36/M36</f>
        <v>80.39</v>
      </c>
      <c r="O36" s="32">
        <f>K36</f>
        <v>8039</v>
      </c>
      <c r="P36" s="89" t="s">
        <v>213</v>
      </c>
      <c r="Q36" s="56">
        <v>100</v>
      </c>
      <c r="R36" s="107">
        <f>S36/Q36</f>
        <v>80.39</v>
      </c>
      <c r="S36" s="88">
        <f>O36</f>
        <v>8039</v>
      </c>
      <c r="T36" s="89" t="s">
        <v>213</v>
      </c>
      <c r="U36" s="56">
        <v>100</v>
      </c>
      <c r="V36" s="107">
        <f>W36/U36</f>
        <v>80.39</v>
      </c>
      <c r="W36" s="88">
        <f>S36</f>
        <v>8039</v>
      </c>
      <c r="X36" s="229" t="s">
        <v>213</v>
      </c>
      <c r="Y36" s="113">
        <v>100</v>
      </c>
      <c r="Z36" s="242">
        <v>80.39</v>
      </c>
      <c r="AA36" s="36">
        <v>8039</v>
      </c>
      <c r="AB36" s="229" t="s">
        <v>213</v>
      </c>
      <c r="AC36" s="113">
        <v>100</v>
      </c>
      <c r="AD36" s="242">
        <v>80.39</v>
      </c>
      <c r="AE36" s="36">
        <v>8039</v>
      </c>
    </row>
    <row r="37" spans="1:31" ht="11.25">
      <c r="A37" s="85"/>
      <c r="C37" s="15" t="s">
        <v>10</v>
      </c>
      <c r="H37" s="478"/>
      <c r="I37" s="87"/>
      <c r="J37" s="87"/>
      <c r="K37" s="480"/>
      <c r="L37" s="159"/>
      <c r="M37" s="56"/>
      <c r="N37" s="87"/>
      <c r="O37" s="32"/>
      <c r="P37" s="89"/>
      <c r="Q37" s="56"/>
      <c r="R37" s="87"/>
      <c r="S37" s="88"/>
      <c r="T37" s="89"/>
      <c r="U37" s="56"/>
      <c r="V37" s="87"/>
      <c r="W37" s="88"/>
      <c r="X37" s="229"/>
      <c r="Y37" s="113"/>
      <c r="Z37" s="192"/>
      <c r="AA37" s="36"/>
      <c r="AB37" s="229"/>
      <c r="AC37" s="113"/>
      <c r="AD37" s="192"/>
      <c r="AE37" s="36"/>
    </row>
    <row r="38" spans="1:31" ht="11.25">
      <c r="A38" s="85" t="s">
        <v>372</v>
      </c>
      <c r="D38" s="15" t="s">
        <v>11</v>
      </c>
      <c r="H38" s="478">
        <f>2744+1899+570+1300+157+32574+32574+14952+3459+21012</f>
        <v>111241</v>
      </c>
      <c r="I38" s="87">
        <f>4499+2781+612+101045+55826+24907</f>
        <v>189670</v>
      </c>
      <c r="J38" s="87">
        <v>100000</v>
      </c>
      <c r="K38" s="480">
        <f>H38+I38+J38</f>
        <v>400911</v>
      </c>
      <c r="L38" s="159" t="s">
        <v>213</v>
      </c>
      <c r="M38" s="56">
        <f>10000+10000+147800+20000</f>
        <v>187800</v>
      </c>
      <c r="N38" s="107">
        <f>O38/M38</f>
        <v>2.134776357827476</v>
      </c>
      <c r="O38" s="32">
        <f>K38</f>
        <v>400911</v>
      </c>
      <c r="P38" s="89" t="s">
        <v>213</v>
      </c>
      <c r="Q38" s="56">
        <f>10000+10000+147800+20000</f>
        <v>187800</v>
      </c>
      <c r="R38" s="107">
        <f>S38/Q38</f>
        <v>2.134776357827476</v>
      </c>
      <c r="S38" s="88">
        <f>O38</f>
        <v>400911</v>
      </c>
      <c r="T38" s="89" t="s">
        <v>213</v>
      </c>
      <c r="U38" s="56">
        <f>10000+10000+147800+20000</f>
        <v>187800</v>
      </c>
      <c r="V38" s="107">
        <f>W38/U38</f>
        <v>2.134776357827476</v>
      </c>
      <c r="W38" s="88">
        <f>S38</f>
        <v>400911</v>
      </c>
      <c r="X38" s="229" t="s">
        <v>213</v>
      </c>
      <c r="Y38" s="230">
        <v>187800</v>
      </c>
      <c r="Z38" s="242">
        <v>2.134776357827476</v>
      </c>
      <c r="AA38" s="36">
        <v>400911</v>
      </c>
      <c r="AB38" s="229" t="s">
        <v>213</v>
      </c>
      <c r="AC38" s="230">
        <v>187800</v>
      </c>
      <c r="AD38" s="242">
        <v>2.134776357827476</v>
      </c>
      <c r="AE38" s="36">
        <v>400911</v>
      </c>
    </row>
    <row r="39" spans="1:31" ht="11.25">
      <c r="A39" s="85" t="s">
        <v>373</v>
      </c>
      <c r="D39" s="15" t="s">
        <v>12</v>
      </c>
      <c r="H39" s="478"/>
      <c r="I39" s="87"/>
      <c r="J39" s="87"/>
      <c r="K39" s="480"/>
      <c r="L39" s="159"/>
      <c r="M39" s="56"/>
      <c r="N39" s="87"/>
      <c r="O39" s="32"/>
      <c r="P39" s="89"/>
      <c r="Q39" s="56"/>
      <c r="R39" s="87"/>
      <c r="S39" s="88"/>
      <c r="T39" s="89"/>
      <c r="U39" s="56"/>
      <c r="V39" s="87"/>
      <c r="W39" s="88"/>
      <c r="X39" s="229"/>
      <c r="Y39" s="322"/>
      <c r="Z39" s="100"/>
      <c r="AA39" s="36"/>
      <c r="AB39" s="229"/>
      <c r="AC39" s="322"/>
      <c r="AD39" s="100"/>
      <c r="AE39" s="36"/>
    </row>
    <row r="40" spans="1:31" ht="11.25">
      <c r="A40" s="85" t="s">
        <v>374</v>
      </c>
      <c r="D40" s="15" t="s">
        <v>13</v>
      </c>
      <c r="H40" s="478"/>
      <c r="I40" s="87"/>
      <c r="J40" s="87"/>
      <c r="K40" s="480"/>
      <c r="L40" s="159"/>
      <c r="M40" s="56"/>
      <c r="N40" s="87"/>
      <c r="O40" s="32"/>
      <c r="P40" s="89"/>
      <c r="Q40" s="56"/>
      <c r="R40" s="87"/>
      <c r="S40" s="88"/>
      <c r="T40" s="89"/>
      <c r="U40" s="56"/>
      <c r="V40" s="87"/>
      <c r="W40" s="88"/>
      <c r="X40" s="229"/>
      <c r="Y40" s="230"/>
      <c r="Z40" s="192"/>
      <c r="AA40" s="36"/>
      <c r="AB40" s="229"/>
      <c r="AC40" s="230"/>
      <c r="AD40" s="192"/>
      <c r="AE40" s="36"/>
    </row>
    <row r="41" spans="1:31" ht="11.25">
      <c r="A41" s="85" t="s">
        <v>375</v>
      </c>
      <c r="D41" s="15" t="s">
        <v>14</v>
      </c>
      <c r="H41" s="478">
        <f>17643+5349</f>
        <v>22992</v>
      </c>
      <c r="I41" s="87">
        <f>22161+7242</f>
        <v>29403</v>
      </c>
      <c r="J41" s="87">
        <v>0</v>
      </c>
      <c r="K41" s="480">
        <f>H41+I41+J41</f>
        <v>52395</v>
      </c>
      <c r="L41" s="159" t="s">
        <v>213</v>
      </c>
      <c r="M41" s="56">
        <v>22800</v>
      </c>
      <c r="N41" s="107">
        <f>O41/M41</f>
        <v>2.298026315789474</v>
      </c>
      <c r="O41" s="32">
        <f>K41</f>
        <v>52395</v>
      </c>
      <c r="P41" s="89" t="s">
        <v>213</v>
      </c>
      <c r="Q41" s="56">
        <v>22800</v>
      </c>
      <c r="R41" s="107">
        <f>S41/Q41</f>
        <v>2.298026315789474</v>
      </c>
      <c r="S41" s="88">
        <f>O41</f>
        <v>52395</v>
      </c>
      <c r="T41" s="89" t="s">
        <v>213</v>
      </c>
      <c r="U41" s="56">
        <f>Q41*2</f>
        <v>45600</v>
      </c>
      <c r="V41" s="107">
        <f>R41*2</f>
        <v>4.596052631578948</v>
      </c>
      <c r="W41" s="88">
        <f>U41*V41</f>
        <v>209580</v>
      </c>
      <c r="X41" s="229" t="s">
        <v>213</v>
      </c>
      <c r="Y41" s="230">
        <v>45600</v>
      </c>
      <c r="Z41" s="192">
        <v>4.596052631578948</v>
      </c>
      <c r="AA41" s="36">
        <v>209580</v>
      </c>
      <c r="AB41" s="229" t="s">
        <v>213</v>
      </c>
      <c r="AC41" s="230">
        <v>45600</v>
      </c>
      <c r="AD41" s="192">
        <v>4.596052631578948</v>
      </c>
      <c r="AE41" s="36">
        <v>209580</v>
      </c>
    </row>
    <row r="42" spans="1:31" ht="11.25">
      <c r="A42" s="85"/>
      <c r="C42" s="15" t="s">
        <v>15</v>
      </c>
      <c r="H42" s="478"/>
      <c r="I42" s="87"/>
      <c r="J42" s="87"/>
      <c r="K42" s="480"/>
      <c r="L42" s="159"/>
      <c r="M42" s="56"/>
      <c r="N42" s="87"/>
      <c r="O42" s="32"/>
      <c r="P42" s="89"/>
      <c r="Q42" s="56"/>
      <c r="R42" s="86"/>
      <c r="S42" s="33"/>
      <c r="T42" s="89"/>
      <c r="U42" s="56"/>
      <c r="V42" s="86"/>
      <c r="W42" s="33"/>
      <c r="X42" s="229"/>
      <c r="Y42" s="230"/>
      <c r="Z42" s="192"/>
      <c r="AA42" s="36"/>
      <c r="AB42" s="229"/>
      <c r="AC42" s="230"/>
      <c r="AD42" s="192"/>
      <c r="AE42" s="36"/>
    </row>
    <row r="43" spans="1:31" ht="11.25">
      <c r="A43" s="85" t="s">
        <v>376</v>
      </c>
      <c r="D43" s="15" t="s">
        <v>11</v>
      </c>
      <c r="H43" s="478"/>
      <c r="I43" s="87"/>
      <c r="J43" s="87"/>
      <c r="K43" s="480"/>
      <c r="L43" s="159"/>
      <c r="M43" s="56"/>
      <c r="N43" s="87"/>
      <c r="O43" s="32"/>
      <c r="P43" s="89"/>
      <c r="Q43" s="56"/>
      <c r="R43" s="86"/>
      <c r="S43" s="33"/>
      <c r="T43" s="191"/>
      <c r="U43" s="230"/>
      <c r="V43" s="192"/>
      <c r="W43" s="36"/>
      <c r="X43" s="229"/>
      <c r="Y43" s="230"/>
      <c r="Z43" s="192"/>
      <c r="AA43" s="36"/>
      <c r="AB43" s="229"/>
      <c r="AC43" s="230"/>
      <c r="AD43" s="192"/>
      <c r="AE43" s="36"/>
    </row>
    <row r="44" spans="1:31" ht="11.25">
      <c r="A44" s="85" t="s">
        <v>377</v>
      </c>
      <c r="D44" s="15" t="s">
        <v>12</v>
      </c>
      <c r="H44" s="478"/>
      <c r="I44" s="87"/>
      <c r="J44" s="87"/>
      <c r="K44" s="480"/>
      <c r="L44" s="159"/>
      <c r="M44" s="56"/>
      <c r="N44" s="87"/>
      <c r="O44" s="32"/>
      <c r="P44" s="89"/>
      <c r="Q44" s="56"/>
      <c r="R44" s="96"/>
      <c r="S44" s="33"/>
      <c r="T44" s="191"/>
      <c r="U44" s="230"/>
      <c r="V44" s="100"/>
      <c r="W44" s="36"/>
      <c r="X44" s="229"/>
      <c r="Y44" s="230"/>
      <c r="Z44" s="100"/>
      <c r="AA44" s="36"/>
      <c r="AB44" s="229"/>
      <c r="AC44" s="230"/>
      <c r="AD44" s="100"/>
      <c r="AE44" s="36"/>
    </row>
    <row r="45" spans="1:31" ht="11.25">
      <c r="A45" s="85" t="s">
        <v>378</v>
      </c>
      <c r="D45" s="15" t="s">
        <v>13</v>
      </c>
      <c r="H45" s="478"/>
      <c r="I45" s="87"/>
      <c r="J45" s="87"/>
      <c r="K45" s="480"/>
      <c r="L45" s="159"/>
      <c r="M45" s="56"/>
      <c r="N45" s="87"/>
      <c r="O45" s="32"/>
      <c r="P45" s="89"/>
      <c r="Q45" s="56"/>
      <c r="R45" s="86"/>
      <c r="S45" s="33"/>
      <c r="T45" s="191"/>
      <c r="U45" s="230"/>
      <c r="V45" s="192"/>
      <c r="W45" s="36"/>
      <c r="X45" s="229"/>
      <c r="Y45" s="230"/>
      <c r="Z45" s="192"/>
      <c r="AA45" s="36"/>
      <c r="AB45" s="229"/>
      <c r="AC45" s="230"/>
      <c r="AD45" s="192"/>
      <c r="AE45" s="36"/>
    </row>
    <row r="46" spans="1:31" ht="11.25">
      <c r="A46" s="85" t="s">
        <v>379</v>
      </c>
      <c r="D46" s="15" t="s">
        <v>14</v>
      </c>
      <c r="H46" s="478"/>
      <c r="I46" s="87"/>
      <c r="J46" s="87"/>
      <c r="K46" s="480"/>
      <c r="L46" s="159"/>
      <c r="M46" s="56"/>
      <c r="N46" s="87"/>
      <c r="O46" s="32"/>
      <c r="P46" s="89"/>
      <c r="Q46" s="56"/>
      <c r="R46" s="86"/>
      <c r="S46" s="33"/>
      <c r="T46" s="191"/>
      <c r="U46" s="230"/>
      <c r="V46" s="192"/>
      <c r="W46" s="36"/>
      <c r="X46" s="229"/>
      <c r="Y46" s="230"/>
      <c r="Z46" s="192"/>
      <c r="AA46" s="36"/>
      <c r="AB46" s="229"/>
      <c r="AC46" s="230"/>
      <c r="AD46" s="192"/>
      <c r="AE46" s="36"/>
    </row>
    <row r="47" spans="1:31" ht="11.25">
      <c r="A47" s="85"/>
      <c r="C47" s="15" t="s">
        <v>16</v>
      </c>
      <c r="H47" s="478">
        <f>SUM(H37:H46)</f>
        <v>134233</v>
      </c>
      <c r="I47" s="87">
        <f>SUM(I37:I46)</f>
        <v>219073</v>
      </c>
      <c r="J47" s="87">
        <f>SUM(J37:J46)</f>
        <v>100000</v>
      </c>
      <c r="K47" s="480">
        <f>H47+I47+J47</f>
        <v>453306</v>
      </c>
      <c r="L47" s="159" t="s">
        <v>213</v>
      </c>
      <c r="M47" s="56">
        <f>M38</f>
        <v>187800</v>
      </c>
      <c r="N47" s="107">
        <f>O47/M47</f>
        <v>2.413769968051118</v>
      </c>
      <c r="O47" s="32">
        <f>SUM(O37:O46)</f>
        <v>453306</v>
      </c>
      <c r="P47" s="89" t="s">
        <v>213</v>
      </c>
      <c r="Q47" s="56">
        <f>Q38</f>
        <v>187800</v>
      </c>
      <c r="R47" s="107">
        <f>S47/Q47</f>
        <v>2.413769968051118</v>
      </c>
      <c r="S47" s="88">
        <f>SUM(S37:S46)</f>
        <v>453306</v>
      </c>
      <c r="T47" s="191" t="s">
        <v>213</v>
      </c>
      <c r="U47" s="230">
        <f>U38</f>
        <v>187800</v>
      </c>
      <c r="V47" s="242">
        <f>W47/U47</f>
        <v>3.2507507987220445</v>
      </c>
      <c r="W47" s="190">
        <f>SUM(W37:W46)</f>
        <v>610491</v>
      </c>
      <c r="X47" s="229" t="s">
        <v>213</v>
      </c>
      <c r="Y47" s="230">
        <f>Y38</f>
        <v>187800</v>
      </c>
      <c r="Z47" s="242">
        <f>AA47/Y47</f>
        <v>3.2507507987220445</v>
      </c>
      <c r="AA47" s="190">
        <f>SUM(AA37:AA46)</f>
        <v>610491</v>
      </c>
      <c r="AB47" s="229" t="s">
        <v>213</v>
      </c>
      <c r="AC47" s="230">
        <f>AC38</f>
        <v>187800</v>
      </c>
      <c r="AD47" s="242">
        <f>AE47/AC47</f>
        <v>3.2507507987220445</v>
      </c>
      <c r="AE47" s="190">
        <f>SUM(AE37:AE46)</f>
        <v>610491</v>
      </c>
    </row>
    <row r="48" spans="1:31" ht="11.25">
      <c r="A48" s="85"/>
      <c r="C48" s="15" t="s">
        <v>10</v>
      </c>
      <c r="H48" s="478"/>
      <c r="I48" s="87"/>
      <c r="J48" s="87"/>
      <c r="K48" s="480"/>
      <c r="L48" s="159"/>
      <c r="M48" s="56"/>
      <c r="N48" s="87"/>
      <c r="O48" s="32"/>
      <c r="P48" s="89"/>
      <c r="Q48" s="56"/>
      <c r="R48" s="86"/>
      <c r="S48" s="33"/>
      <c r="T48" s="191"/>
      <c r="U48" s="230"/>
      <c r="V48" s="192"/>
      <c r="W48" s="36"/>
      <c r="X48" s="229"/>
      <c r="Y48" s="230"/>
      <c r="Z48" s="192"/>
      <c r="AA48" s="36"/>
      <c r="AB48" s="229"/>
      <c r="AC48" s="230"/>
      <c r="AD48" s="192"/>
      <c r="AE48" s="36"/>
    </row>
    <row r="49" spans="1:31" ht="11.25">
      <c r="A49" s="85" t="s">
        <v>380</v>
      </c>
      <c r="D49" s="15" t="s">
        <v>17</v>
      </c>
      <c r="H49" s="478"/>
      <c r="I49" s="87"/>
      <c r="J49" s="87"/>
      <c r="K49" s="480"/>
      <c r="L49" s="159"/>
      <c r="M49" s="56"/>
      <c r="N49" s="87"/>
      <c r="O49" s="32"/>
      <c r="P49" s="89"/>
      <c r="Q49" s="56"/>
      <c r="R49" s="96"/>
      <c r="S49" s="33"/>
      <c r="T49" s="191"/>
      <c r="U49" s="230"/>
      <c r="V49" s="100"/>
      <c r="W49" s="36"/>
      <c r="X49" s="229"/>
      <c r="Y49" s="230"/>
      <c r="Z49" s="100"/>
      <c r="AA49" s="36"/>
      <c r="AB49" s="229"/>
      <c r="AC49" s="230"/>
      <c r="AD49" s="100"/>
      <c r="AE49" s="36"/>
    </row>
    <row r="50" spans="1:31" ht="11.25">
      <c r="A50" s="85" t="s">
        <v>381</v>
      </c>
      <c r="D50" s="15" t="s">
        <v>18</v>
      </c>
      <c r="H50" s="478">
        <f>127+1082</f>
        <v>1209</v>
      </c>
      <c r="I50" s="87">
        <f>87+865</f>
        <v>952</v>
      </c>
      <c r="J50" s="87">
        <f>42+492</f>
        <v>534</v>
      </c>
      <c r="K50" s="480">
        <f>H50+I50+J50</f>
        <v>2695</v>
      </c>
      <c r="L50" s="159" t="s">
        <v>214</v>
      </c>
      <c r="M50" s="56">
        <f>1400+1400+20000</f>
        <v>22800</v>
      </c>
      <c r="N50" s="107">
        <f>O50/M50</f>
        <v>0.11820175438596492</v>
      </c>
      <c r="O50" s="32">
        <f>K50</f>
        <v>2695</v>
      </c>
      <c r="P50" s="89" t="s">
        <v>214</v>
      </c>
      <c r="Q50" s="56">
        <f>1400+1400+20000</f>
        <v>22800</v>
      </c>
      <c r="R50" s="107">
        <f>S50/Q50</f>
        <v>0.11820175438596492</v>
      </c>
      <c r="S50" s="88">
        <f>O50</f>
        <v>2695</v>
      </c>
      <c r="T50" s="89" t="s">
        <v>214</v>
      </c>
      <c r="U50" s="56">
        <f>Q50</f>
        <v>22800</v>
      </c>
      <c r="V50" s="107">
        <v>0.31</v>
      </c>
      <c r="W50" s="88">
        <f>U50*V50</f>
        <v>7068</v>
      </c>
      <c r="X50" s="229" t="s">
        <v>214</v>
      </c>
      <c r="Y50" s="230">
        <f>U50</f>
        <v>22800</v>
      </c>
      <c r="Z50" s="242">
        <v>0.31</v>
      </c>
      <c r="AA50" s="36">
        <f>Y50*Z50</f>
        <v>7068</v>
      </c>
      <c r="AB50" s="229" t="s">
        <v>214</v>
      </c>
      <c r="AC50" s="230">
        <f>Y50</f>
        <v>22800</v>
      </c>
      <c r="AD50" s="242">
        <v>0.31</v>
      </c>
      <c r="AE50" s="36">
        <f>AC50*AD50</f>
        <v>7068</v>
      </c>
    </row>
    <row r="51" spans="1:31" ht="11.25">
      <c r="A51" s="85"/>
      <c r="C51" s="15" t="s">
        <v>15</v>
      </c>
      <c r="H51" s="478"/>
      <c r="I51" s="87"/>
      <c r="J51" s="87"/>
      <c r="K51" s="480"/>
      <c r="L51" s="159"/>
      <c r="M51" s="56"/>
      <c r="N51" s="87"/>
      <c r="O51" s="32"/>
      <c r="P51" s="89"/>
      <c r="Q51" s="56"/>
      <c r="R51" s="96"/>
      <c r="S51" s="33"/>
      <c r="T51" s="191"/>
      <c r="U51" s="230"/>
      <c r="V51" s="100"/>
      <c r="W51" s="36"/>
      <c r="X51" s="229"/>
      <c r="Y51" s="230"/>
      <c r="Z51" s="100"/>
      <c r="AA51" s="36"/>
      <c r="AB51" s="229"/>
      <c r="AC51" s="230"/>
      <c r="AD51" s="100"/>
      <c r="AE51" s="36"/>
    </row>
    <row r="52" spans="1:31" ht="11.25">
      <c r="A52" s="85" t="s">
        <v>382</v>
      </c>
      <c r="D52" s="15" t="s">
        <v>17</v>
      </c>
      <c r="H52" s="478"/>
      <c r="I52" s="87"/>
      <c r="J52" s="87"/>
      <c r="K52" s="480"/>
      <c r="L52" s="159"/>
      <c r="M52" s="56"/>
      <c r="N52" s="87"/>
      <c r="O52" s="32"/>
      <c r="P52" s="89"/>
      <c r="Q52" s="56"/>
      <c r="R52" s="96"/>
      <c r="S52" s="33"/>
      <c r="T52" s="191"/>
      <c r="U52" s="230"/>
      <c r="V52" s="100"/>
      <c r="W52" s="36"/>
      <c r="X52" s="229"/>
      <c r="Y52" s="230"/>
      <c r="Z52" s="100"/>
      <c r="AA52" s="36"/>
      <c r="AB52" s="229"/>
      <c r="AC52" s="230"/>
      <c r="AD52" s="100"/>
      <c r="AE52" s="36"/>
    </row>
    <row r="53" spans="1:31" ht="11.25">
      <c r="A53" s="85" t="s">
        <v>383</v>
      </c>
      <c r="D53" s="15" t="s">
        <v>19</v>
      </c>
      <c r="H53" s="478"/>
      <c r="I53" s="87"/>
      <c r="J53" s="87"/>
      <c r="K53" s="480"/>
      <c r="L53" s="159"/>
      <c r="M53" s="56"/>
      <c r="N53" s="107"/>
      <c r="O53" s="32"/>
      <c r="P53" s="89"/>
      <c r="Q53" s="56"/>
      <c r="R53" s="96"/>
      <c r="S53" s="33"/>
      <c r="T53" s="191"/>
      <c r="U53" s="230"/>
      <c r="V53" s="100"/>
      <c r="W53" s="36"/>
      <c r="X53" s="229"/>
      <c r="Y53" s="230"/>
      <c r="Z53" s="100"/>
      <c r="AA53" s="36"/>
      <c r="AB53" s="229"/>
      <c r="AC53" s="230"/>
      <c r="AD53" s="100"/>
      <c r="AE53" s="36"/>
    </row>
    <row r="54" spans="1:31" ht="11.25">
      <c r="A54" s="85"/>
      <c r="C54" s="15" t="s">
        <v>20</v>
      </c>
      <c r="H54" s="478">
        <f>SUM(H48:H53)</f>
        <v>1209</v>
      </c>
      <c r="I54" s="87">
        <f>SUM(I48:I53)</f>
        <v>952</v>
      </c>
      <c r="J54" s="87">
        <f>SUM(J48:J53)</f>
        <v>534</v>
      </c>
      <c r="K54" s="480">
        <f>H54+I54+J54</f>
        <v>2695</v>
      </c>
      <c r="L54" s="159" t="s">
        <v>214</v>
      </c>
      <c r="M54" s="56">
        <f>M50</f>
        <v>22800</v>
      </c>
      <c r="N54" s="107">
        <f>O54/M54</f>
        <v>0.11820175438596492</v>
      </c>
      <c r="O54" s="32">
        <f>SUM(O48:O53)</f>
        <v>2695</v>
      </c>
      <c r="P54" s="89" t="s">
        <v>214</v>
      </c>
      <c r="Q54" s="56">
        <f>Q50</f>
        <v>22800</v>
      </c>
      <c r="R54" s="107">
        <f>S54/Q54</f>
        <v>0.11820175438596492</v>
      </c>
      <c r="S54" s="88">
        <f>SUM(S48:S53)</f>
        <v>2695</v>
      </c>
      <c r="T54" s="191" t="s">
        <v>214</v>
      </c>
      <c r="U54" s="230">
        <f>U50</f>
        <v>22800</v>
      </c>
      <c r="V54" s="242">
        <f>W54/U54</f>
        <v>0.31</v>
      </c>
      <c r="W54" s="190">
        <f>SUM(W48:W53)</f>
        <v>7068</v>
      </c>
      <c r="X54" s="229" t="s">
        <v>214</v>
      </c>
      <c r="Y54" s="230">
        <f>Y50</f>
        <v>22800</v>
      </c>
      <c r="Z54" s="242">
        <f>AA54/Y54</f>
        <v>0.31</v>
      </c>
      <c r="AA54" s="190">
        <f>SUM(AA48:AA53)</f>
        <v>7068</v>
      </c>
      <c r="AB54" s="229" t="s">
        <v>214</v>
      </c>
      <c r="AC54" s="230">
        <f>AC50</f>
        <v>22800</v>
      </c>
      <c r="AD54" s="242">
        <f>AE54/AC54</f>
        <v>0.31</v>
      </c>
      <c r="AE54" s="190">
        <f>SUM(AE48:AE53)</f>
        <v>7068</v>
      </c>
    </row>
    <row r="55" spans="1:31" ht="11.25">
      <c r="A55" s="85"/>
      <c r="B55" s="15" t="s">
        <v>355</v>
      </c>
      <c r="H55" s="478">
        <f>H35+H36+H47+H54</f>
        <v>154995</v>
      </c>
      <c r="I55" s="87">
        <f>I35+I36+I47+I54</f>
        <v>229329</v>
      </c>
      <c r="J55" s="87">
        <f>J35+J36+J47+J54</f>
        <v>100534</v>
      </c>
      <c r="K55" s="480">
        <f>K35+K36+K47+K54</f>
        <v>484858</v>
      </c>
      <c r="L55" s="159" t="s">
        <v>213</v>
      </c>
      <c r="M55" s="56">
        <f>M47</f>
        <v>187800</v>
      </c>
      <c r="N55" s="107">
        <f>O55/M55</f>
        <v>2.5817784877529286</v>
      </c>
      <c r="O55" s="32">
        <f>O35+O36+O47+O54</f>
        <v>484858</v>
      </c>
      <c r="P55" s="89" t="s">
        <v>213</v>
      </c>
      <c r="Q55" s="56">
        <f>Q47</f>
        <v>187800</v>
      </c>
      <c r="R55" s="107">
        <f>S55/Q55</f>
        <v>2.5817784877529286</v>
      </c>
      <c r="S55" s="88">
        <f>S35+S36+S47+S54</f>
        <v>484858</v>
      </c>
      <c r="T55" s="191" t="s">
        <v>213</v>
      </c>
      <c r="U55" s="230">
        <f>U47</f>
        <v>187800</v>
      </c>
      <c r="V55" s="242">
        <f>W55/U55</f>
        <v>3.442044728434505</v>
      </c>
      <c r="W55" s="190">
        <f>W35+W36+W47+W54</f>
        <v>646416</v>
      </c>
      <c r="X55" s="229" t="s">
        <v>213</v>
      </c>
      <c r="Y55" s="230">
        <f>Y47</f>
        <v>187800</v>
      </c>
      <c r="Z55" s="242">
        <f>AA55/Y55</f>
        <v>3.442044728434505</v>
      </c>
      <c r="AA55" s="190">
        <f>AA35+AA36+AA47+AA54</f>
        <v>646416</v>
      </c>
      <c r="AB55" s="229" t="s">
        <v>213</v>
      </c>
      <c r="AC55" s="230">
        <f>AC47</f>
        <v>187800</v>
      </c>
      <c r="AD55" s="242">
        <f>AE55/AC55</f>
        <v>3.442044728434505</v>
      </c>
      <c r="AE55" s="190">
        <f>AE35+AE36+AE47+AE54</f>
        <v>646416</v>
      </c>
    </row>
    <row r="56" spans="1:31" ht="11.25">
      <c r="A56" s="85"/>
      <c r="H56" s="478"/>
      <c r="I56" s="87"/>
      <c r="J56" s="87"/>
      <c r="K56" s="480"/>
      <c r="L56" s="159"/>
      <c r="M56" s="56"/>
      <c r="N56" s="107"/>
      <c r="O56" s="32"/>
      <c r="P56" s="89"/>
      <c r="Q56" s="56"/>
      <c r="R56" s="87"/>
      <c r="S56" s="88"/>
      <c r="T56" s="191"/>
      <c r="U56" s="230"/>
      <c r="V56" s="189"/>
      <c r="W56" s="190"/>
      <c r="X56" s="229"/>
      <c r="Y56" s="230"/>
      <c r="Z56" s="189"/>
      <c r="AA56" s="190"/>
      <c r="AB56" s="229"/>
      <c r="AC56" s="230"/>
      <c r="AD56" s="189"/>
      <c r="AE56" s="190"/>
    </row>
    <row r="57" spans="1:99" s="352" customFormat="1" ht="11.25">
      <c r="A57" s="85" t="s">
        <v>384</v>
      </c>
      <c r="B57" s="98" t="s">
        <v>361</v>
      </c>
      <c r="C57" s="98"/>
      <c r="D57" s="15"/>
      <c r="E57" s="15"/>
      <c r="F57" s="15"/>
      <c r="G57" s="15"/>
      <c r="H57" s="478"/>
      <c r="I57" s="87"/>
      <c r="J57" s="87"/>
      <c r="K57" s="480"/>
      <c r="L57" s="159"/>
      <c r="M57" s="56"/>
      <c r="N57" s="87"/>
      <c r="O57" s="32"/>
      <c r="P57" s="438"/>
      <c r="Q57" s="360"/>
      <c r="R57" s="351"/>
      <c r="S57" s="357"/>
      <c r="T57" s="433"/>
      <c r="U57" s="358"/>
      <c r="V57" s="355"/>
      <c r="W57" s="359"/>
      <c r="X57" s="353"/>
      <c r="Y57" s="358"/>
      <c r="Z57" s="355"/>
      <c r="AA57" s="359"/>
      <c r="AB57" s="353"/>
      <c r="AC57" s="358"/>
      <c r="AD57" s="355"/>
      <c r="AE57" s="359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</row>
    <row r="58" spans="1:99" s="352" customFormat="1" ht="11.25">
      <c r="A58" s="85"/>
      <c r="B58" s="15"/>
      <c r="C58" s="15" t="s">
        <v>31</v>
      </c>
      <c r="D58" s="15"/>
      <c r="E58" s="15"/>
      <c r="F58" s="15"/>
      <c r="G58" s="15"/>
      <c r="H58" s="481"/>
      <c r="I58" s="84"/>
      <c r="J58" s="84"/>
      <c r="K58" s="482"/>
      <c r="L58" s="159"/>
      <c r="M58" s="56"/>
      <c r="N58" s="87"/>
      <c r="O58" s="32"/>
      <c r="P58" s="438"/>
      <c r="Q58" s="360"/>
      <c r="R58" s="351"/>
      <c r="S58" s="357"/>
      <c r="T58" s="433"/>
      <c r="U58" s="358"/>
      <c r="V58" s="355"/>
      <c r="W58" s="359"/>
      <c r="X58" s="353"/>
      <c r="Y58" s="358"/>
      <c r="Z58" s="355"/>
      <c r="AA58" s="359"/>
      <c r="AB58" s="353"/>
      <c r="AC58" s="358"/>
      <c r="AD58" s="355"/>
      <c r="AE58" s="359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</row>
    <row r="59" spans="1:99" s="352" customFormat="1" ht="11.25">
      <c r="A59" s="85" t="s">
        <v>385</v>
      </c>
      <c r="B59" s="15"/>
      <c r="C59" s="15"/>
      <c r="D59" s="15" t="s">
        <v>177</v>
      </c>
      <c r="E59" s="15"/>
      <c r="F59" s="15"/>
      <c r="G59" s="15"/>
      <c r="H59" s="478">
        <f>342+2318</f>
        <v>2660</v>
      </c>
      <c r="I59" s="87">
        <f>94+1086</f>
        <v>1180</v>
      </c>
      <c r="J59" s="87">
        <v>0</v>
      </c>
      <c r="K59" s="480">
        <f>H59+I59+J59</f>
        <v>3840</v>
      </c>
      <c r="L59" s="159" t="s">
        <v>208</v>
      </c>
      <c r="M59" s="56">
        <v>2</v>
      </c>
      <c r="N59" s="87">
        <f>O59/M59</f>
        <v>1920</v>
      </c>
      <c r="O59" s="32">
        <f>K59</f>
        <v>3840</v>
      </c>
      <c r="P59" s="89" t="s">
        <v>208</v>
      </c>
      <c r="Q59" s="56">
        <v>2</v>
      </c>
      <c r="R59" s="87">
        <f>S59/Q59</f>
        <v>1920</v>
      </c>
      <c r="S59" s="54">
        <f>O59</f>
        <v>3840</v>
      </c>
      <c r="T59" s="89" t="s">
        <v>208</v>
      </c>
      <c r="U59" s="56">
        <v>2</v>
      </c>
      <c r="V59" s="87">
        <f>W59/U59</f>
        <v>1920</v>
      </c>
      <c r="W59" s="54">
        <f>S59</f>
        <v>3840</v>
      </c>
      <c r="X59" s="229" t="s">
        <v>208</v>
      </c>
      <c r="Y59" s="113">
        <v>2</v>
      </c>
      <c r="Z59" s="242">
        <v>1920</v>
      </c>
      <c r="AA59" s="36">
        <v>3840</v>
      </c>
      <c r="AB59" s="229" t="s">
        <v>208</v>
      </c>
      <c r="AC59" s="113">
        <v>2</v>
      </c>
      <c r="AD59" s="242">
        <v>1920</v>
      </c>
      <c r="AE59" s="36">
        <v>3840</v>
      </c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</row>
    <row r="60" spans="1:99" s="352" customFormat="1" ht="11.25">
      <c r="A60" s="85" t="s">
        <v>386</v>
      </c>
      <c r="B60" s="15"/>
      <c r="C60" s="15"/>
      <c r="D60" s="15" t="s">
        <v>178</v>
      </c>
      <c r="E60" s="15"/>
      <c r="F60" s="15"/>
      <c r="G60" s="15"/>
      <c r="H60" s="478"/>
      <c r="I60" s="87"/>
      <c r="J60" s="87"/>
      <c r="K60" s="480"/>
      <c r="L60" s="159"/>
      <c r="M60" s="56"/>
      <c r="N60" s="107"/>
      <c r="O60" s="32"/>
      <c r="P60" s="89"/>
      <c r="Q60" s="56"/>
      <c r="R60" s="107"/>
      <c r="S60" s="54"/>
      <c r="T60" s="89"/>
      <c r="U60" s="56"/>
      <c r="V60" s="107"/>
      <c r="W60" s="54"/>
      <c r="X60" s="229"/>
      <c r="Y60" s="113"/>
      <c r="Z60" s="242"/>
      <c r="AA60" s="36"/>
      <c r="AB60" s="229"/>
      <c r="AC60" s="113"/>
      <c r="AD60" s="242"/>
      <c r="AE60" s="3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</row>
    <row r="61" spans="1:99" s="352" customFormat="1" ht="11.25">
      <c r="A61" s="85"/>
      <c r="B61" s="15"/>
      <c r="C61" s="15" t="s">
        <v>10</v>
      </c>
      <c r="D61" s="15"/>
      <c r="E61" s="15"/>
      <c r="F61" s="15"/>
      <c r="G61" s="15"/>
      <c r="H61" s="478"/>
      <c r="I61" s="87"/>
      <c r="J61" s="87"/>
      <c r="K61" s="480"/>
      <c r="L61" s="159"/>
      <c r="M61" s="56"/>
      <c r="N61" s="87"/>
      <c r="O61" s="32"/>
      <c r="P61" s="89"/>
      <c r="Q61" s="56"/>
      <c r="R61" s="87"/>
      <c r="S61" s="54"/>
      <c r="T61" s="89"/>
      <c r="U61" s="56"/>
      <c r="V61" s="87"/>
      <c r="W61" s="54"/>
      <c r="X61" s="229"/>
      <c r="Y61" s="113"/>
      <c r="Z61" s="192"/>
      <c r="AA61" s="36"/>
      <c r="AB61" s="229"/>
      <c r="AC61" s="113"/>
      <c r="AD61" s="192"/>
      <c r="AE61" s="3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</row>
    <row r="62" spans="1:99" s="352" customFormat="1" ht="11.25">
      <c r="A62" s="85" t="s">
        <v>387</v>
      </c>
      <c r="B62" s="15"/>
      <c r="C62" s="15"/>
      <c r="D62" s="15" t="s">
        <v>11</v>
      </c>
      <c r="E62" s="15"/>
      <c r="F62" s="15"/>
      <c r="G62" s="15"/>
      <c r="H62" s="478">
        <f>1730+4027</f>
        <v>5757</v>
      </c>
      <c r="I62" s="87">
        <f>2554+6245</f>
        <v>8799</v>
      </c>
      <c r="J62" s="87">
        <v>3000</v>
      </c>
      <c r="K62" s="480">
        <f>H62+I62+J62</f>
        <v>17556</v>
      </c>
      <c r="L62" s="159" t="s">
        <v>213</v>
      </c>
      <c r="M62" s="56">
        <f>600+2400</f>
        <v>3000</v>
      </c>
      <c r="N62" s="107">
        <f>O62/M62</f>
        <v>5.852</v>
      </c>
      <c r="O62" s="32">
        <f>K62</f>
        <v>17556</v>
      </c>
      <c r="P62" s="89" t="s">
        <v>213</v>
      </c>
      <c r="Q62" s="56">
        <f>600+2400</f>
        <v>3000</v>
      </c>
      <c r="R62" s="107">
        <f>S62/Q62</f>
        <v>5.852</v>
      </c>
      <c r="S62" s="54">
        <f>O62</f>
        <v>17556</v>
      </c>
      <c r="T62" s="89" t="s">
        <v>213</v>
      </c>
      <c r="U62" s="56">
        <f>600+2400</f>
        <v>3000</v>
      </c>
      <c r="V62" s="107">
        <f>W62/U62</f>
        <v>5.852</v>
      </c>
      <c r="W62" s="54">
        <f>S62</f>
        <v>17556</v>
      </c>
      <c r="X62" s="229" t="s">
        <v>213</v>
      </c>
      <c r="Y62" s="230">
        <v>3000</v>
      </c>
      <c r="Z62" s="242">
        <v>5.852</v>
      </c>
      <c r="AA62" s="36">
        <v>17556</v>
      </c>
      <c r="AB62" s="229" t="s">
        <v>213</v>
      </c>
      <c r="AC62" s="230">
        <v>3000</v>
      </c>
      <c r="AD62" s="242">
        <v>5.852</v>
      </c>
      <c r="AE62" s="36">
        <v>17556</v>
      </c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</row>
    <row r="63" spans="1:99" s="352" customFormat="1" ht="11.25">
      <c r="A63" s="85" t="s">
        <v>388</v>
      </c>
      <c r="B63" s="15"/>
      <c r="C63" s="15"/>
      <c r="D63" s="15" t="s">
        <v>12</v>
      </c>
      <c r="E63" s="15"/>
      <c r="F63" s="15"/>
      <c r="G63" s="15"/>
      <c r="H63" s="478"/>
      <c r="I63" s="87"/>
      <c r="J63" s="87"/>
      <c r="K63" s="480"/>
      <c r="L63" s="159"/>
      <c r="M63" s="56"/>
      <c r="N63" s="87"/>
      <c r="O63" s="32"/>
      <c r="P63" s="89"/>
      <c r="Q63" s="56"/>
      <c r="R63" s="87"/>
      <c r="S63" s="54"/>
      <c r="T63" s="89"/>
      <c r="U63" s="56"/>
      <c r="V63" s="87"/>
      <c r="W63" s="54"/>
      <c r="X63" s="229"/>
      <c r="Y63" s="230"/>
      <c r="Z63" s="100"/>
      <c r="AA63" s="36"/>
      <c r="AB63" s="229"/>
      <c r="AC63" s="230"/>
      <c r="AD63" s="100"/>
      <c r="AE63" s="3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</row>
    <row r="64" spans="1:99" s="352" customFormat="1" ht="11.25">
      <c r="A64" s="85" t="s">
        <v>389</v>
      </c>
      <c r="B64" s="15"/>
      <c r="C64" s="15"/>
      <c r="D64" s="15" t="s">
        <v>13</v>
      </c>
      <c r="E64" s="15"/>
      <c r="F64" s="15"/>
      <c r="G64" s="15"/>
      <c r="H64" s="478"/>
      <c r="I64" s="87"/>
      <c r="J64" s="87"/>
      <c r="K64" s="480"/>
      <c r="L64" s="159"/>
      <c r="M64" s="56"/>
      <c r="N64" s="87"/>
      <c r="O64" s="32"/>
      <c r="P64" s="89"/>
      <c r="Q64" s="56"/>
      <c r="R64" s="87"/>
      <c r="S64" s="54"/>
      <c r="T64" s="89"/>
      <c r="U64" s="56"/>
      <c r="V64" s="87"/>
      <c r="W64" s="54"/>
      <c r="X64" s="229"/>
      <c r="Y64" s="230"/>
      <c r="Z64" s="192"/>
      <c r="AA64" s="36"/>
      <c r="AB64" s="229"/>
      <c r="AC64" s="230"/>
      <c r="AD64" s="192"/>
      <c r="AE64" s="3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</row>
    <row r="65" spans="1:99" s="352" customFormat="1" ht="11.25">
      <c r="A65" s="85" t="s">
        <v>390</v>
      </c>
      <c r="B65" s="15"/>
      <c r="C65" s="15"/>
      <c r="D65" s="15" t="s">
        <v>14</v>
      </c>
      <c r="E65" s="15"/>
      <c r="F65" s="15"/>
      <c r="G65" s="15"/>
      <c r="H65" s="478">
        <v>2179</v>
      </c>
      <c r="I65" s="87">
        <v>3254</v>
      </c>
      <c r="J65" s="87">
        <v>0</v>
      </c>
      <c r="K65" s="480">
        <f>H65+I65+J65</f>
        <v>5433</v>
      </c>
      <c r="L65" s="159" t="s">
        <v>213</v>
      </c>
      <c r="M65" s="56">
        <v>1200</v>
      </c>
      <c r="N65" s="107">
        <f>O65/M65</f>
        <v>4.5275</v>
      </c>
      <c r="O65" s="32">
        <f>K65</f>
        <v>5433</v>
      </c>
      <c r="P65" s="89" t="s">
        <v>213</v>
      </c>
      <c r="Q65" s="56">
        <v>1200</v>
      </c>
      <c r="R65" s="107">
        <f>S65/Q65</f>
        <v>4.5275</v>
      </c>
      <c r="S65" s="54">
        <f>O65</f>
        <v>5433</v>
      </c>
      <c r="T65" s="89" t="s">
        <v>213</v>
      </c>
      <c r="U65" s="56">
        <f>Q65*2</f>
        <v>2400</v>
      </c>
      <c r="V65" s="107">
        <f>R65*2</f>
        <v>9.055</v>
      </c>
      <c r="W65" s="54">
        <f>U65*V65</f>
        <v>21732</v>
      </c>
      <c r="X65" s="229" t="s">
        <v>213</v>
      </c>
      <c r="Y65" s="230">
        <v>2400</v>
      </c>
      <c r="Z65" s="192">
        <v>9.055</v>
      </c>
      <c r="AA65" s="36">
        <v>21732</v>
      </c>
      <c r="AB65" s="229" t="s">
        <v>213</v>
      </c>
      <c r="AC65" s="230">
        <v>2400</v>
      </c>
      <c r="AD65" s="192">
        <v>9.055</v>
      </c>
      <c r="AE65" s="36">
        <v>21732</v>
      </c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</row>
    <row r="66" spans="1:99" s="352" customFormat="1" ht="11.25">
      <c r="A66" s="85"/>
      <c r="B66" s="15"/>
      <c r="C66" s="15" t="s">
        <v>15</v>
      </c>
      <c r="D66" s="15"/>
      <c r="E66" s="15"/>
      <c r="F66" s="15"/>
      <c r="G66" s="15"/>
      <c r="H66" s="478"/>
      <c r="I66" s="87"/>
      <c r="J66" s="87"/>
      <c r="K66" s="480"/>
      <c r="L66" s="159"/>
      <c r="M66" s="56"/>
      <c r="N66" s="87"/>
      <c r="O66" s="32"/>
      <c r="P66" s="438"/>
      <c r="Q66" s="446"/>
      <c r="R66" s="361"/>
      <c r="S66" s="357"/>
      <c r="T66" s="433"/>
      <c r="U66" s="354"/>
      <c r="V66" s="362"/>
      <c r="W66" s="359"/>
      <c r="X66" s="229"/>
      <c r="Y66" s="230"/>
      <c r="Z66" s="192"/>
      <c r="AA66" s="36"/>
      <c r="AB66" s="229"/>
      <c r="AC66" s="230"/>
      <c r="AD66" s="192"/>
      <c r="AE66" s="3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</row>
    <row r="67" spans="1:99" s="352" customFormat="1" ht="11.25">
      <c r="A67" s="85" t="s">
        <v>391</v>
      </c>
      <c r="B67" s="15"/>
      <c r="C67" s="15"/>
      <c r="D67" s="15" t="s">
        <v>11</v>
      </c>
      <c r="E67" s="15"/>
      <c r="F67" s="15"/>
      <c r="G67" s="15"/>
      <c r="H67" s="478"/>
      <c r="I67" s="87"/>
      <c r="J67" s="87"/>
      <c r="K67" s="480"/>
      <c r="L67" s="159"/>
      <c r="M67" s="56"/>
      <c r="N67" s="87"/>
      <c r="O67" s="32"/>
      <c r="P67" s="438"/>
      <c r="Q67" s="446"/>
      <c r="R67" s="361"/>
      <c r="S67" s="357"/>
      <c r="T67" s="433"/>
      <c r="U67" s="354"/>
      <c r="V67" s="362"/>
      <c r="W67" s="359"/>
      <c r="X67" s="229"/>
      <c r="Y67" s="230"/>
      <c r="Z67" s="192"/>
      <c r="AA67" s="36"/>
      <c r="AB67" s="229"/>
      <c r="AC67" s="230"/>
      <c r="AD67" s="192"/>
      <c r="AE67" s="3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</row>
    <row r="68" spans="1:99" s="352" customFormat="1" ht="11.25">
      <c r="A68" s="85" t="s">
        <v>392</v>
      </c>
      <c r="B68" s="15"/>
      <c r="C68" s="15"/>
      <c r="D68" s="15" t="s">
        <v>12</v>
      </c>
      <c r="E68" s="15"/>
      <c r="F68" s="15"/>
      <c r="G68" s="15"/>
      <c r="H68" s="478"/>
      <c r="I68" s="87"/>
      <c r="J68" s="87"/>
      <c r="K68" s="480"/>
      <c r="L68" s="159"/>
      <c r="M68" s="56"/>
      <c r="N68" s="87"/>
      <c r="O68" s="32"/>
      <c r="P68" s="438"/>
      <c r="Q68" s="446"/>
      <c r="R68" s="363"/>
      <c r="S68" s="357"/>
      <c r="T68" s="433"/>
      <c r="U68" s="354"/>
      <c r="V68" s="364"/>
      <c r="W68" s="359"/>
      <c r="X68" s="229"/>
      <c r="Y68" s="230"/>
      <c r="Z68" s="100"/>
      <c r="AA68" s="36"/>
      <c r="AB68" s="229"/>
      <c r="AC68" s="230"/>
      <c r="AD68" s="100"/>
      <c r="AE68" s="3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</row>
    <row r="69" spans="1:99" s="352" customFormat="1" ht="11.25">
      <c r="A69" s="85" t="s">
        <v>393</v>
      </c>
      <c r="B69" s="15"/>
      <c r="C69" s="15"/>
      <c r="D69" s="15" t="s">
        <v>13</v>
      </c>
      <c r="E69" s="15"/>
      <c r="F69" s="15"/>
      <c r="G69" s="15"/>
      <c r="H69" s="478"/>
      <c r="I69" s="87"/>
      <c r="J69" s="87"/>
      <c r="K69" s="480"/>
      <c r="L69" s="159"/>
      <c r="M69" s="56"/>
      <c r="N69" s="87"/>
      <c r="O69" s="32"/>
      <c r="P69" s="438"/>
      <c r="Q69" s="446"/>
      <c r="R69" s="361"/>
      <c r="S69" s="357"/>
      <c r="T69" s="433"/>
      <c r="U69" s="354"/>
      <c r="V69" s="362"/>
      <c r="W69" s="359"/>
      <c r="X69" s="229"/>
      <c r="Y69" s="230"/>
      <c r="Z69" s="192"/>
      <c r="AA69" s="36"/>
      <c r="AB69" s="229"/>
      <c r="AC69" s="230"/>
      <c r="AD69" s="192"/>
      <c r="AE69" s="3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</row>
    <row r="70" spans="1:99" s="352" customFormat="1" ht="11.25">
      <c r="A70" s="85" t="s">
        <v>394</v>
      </c>
      <c r="B70" s="15"/>
      <c r="C70" s="15"/>
      <c r="D70" s="15" t="s">
        <v>14</v>
      </c>
      <c r="E70" s="15"/>
      <c r="F70" s="15"/>
      <c r="G70" s="15"/>
      <c r="H70" s="478"/>
      <c r="I70" s="87"/>
      <c r="J70" s="87"/>
      <c r="K70" s="480"/>
      <c r="L70" s="159"/>
      <c r="M70" s="56"/>
      <c r="N70" s="87"/>
      <c r="O70" s="32"/>
      <c r="P70" s="438"/>
      <c r="Q70" s="446"/>
      <c r="R70" s="361"/>
      <c r="S70" s="357"/>
      <c r="T70" s="433"/>
      <c r="U70" s="354"/>
      <c r="V70" s="362"/>
      <c r="W70" s="359"/>
      <c r="X70" s="229"/>
      <c r="Y70" s="230"/>
      <c r="Z70" s="192"/>
      <c r="AA70" s="36"/>
      <c r="AB70" s="229"/>
      <c r="AC70" s="230"/>
      <c r="AD70" s="192"/>
      <c r="AE70" s="3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</row>
    <row r="71" spans="1:99" s="352" customFormat="1" ht="11.25">
      <c r="A71" s="85"/>
      <c r="B71" s="15"/>
      <c r="C71" s="15" t="s">
        <v>16</v>
      </c>
      <c r="D71" s="15"/>
      <c r="E71" s="15"/>
      <c r="F71" s="15"/>
      <c r="G71" s="15"/>
      <c r="H71" s="478">
        <f>SUM(H61:H70)</f>
        <v>7936</v>
      </c>
      <c r="I71" s="87">
        <f>SUM(I61:I70)</f>
        <v>12053</v>
      </c>
      <c r="J71" s="87">
        <f>SUM(J61:J70)</f>
        <v>3000</v>
      </c>
      <c r="K71" s="480">
        <f>H71+I71+J71</f>
        <v>22989</v>
      </c>
      <c r="L71" s="159" t="s">
        <v>213</v>
      </c>
      <c r="M71" s="56">
        <f>M62</f>
        <v>3000</v>
      </c>
      <c r="N71" s="107">
        <f>O71/M71</f>
        <v>7.663</v>
      </c>
      <c r="O71" s="32">
        <f>SUM(O61:O70)</f>
        <v>22989</v>
      </c>
      <c r="P71" s="89" t="s">
        <v>213</v>
      </c>
      <c r="Q71" s="56">
        <f>Q62</f>
        <v>3000</v>
      </c>
      <c r="R71" s="107">
        <f>S71/Q71</f>
        <v>7.663</v>
      </c>
      <c r="S71" s="54">
        <f>SUM(S61:S70)</f>
        <v>22989</v>
      </c>
      <c r="T71" s="89" t="s">
        <v>213</v>
      </c>
      <c r="U71" s="56">
        <f>U62</f>
        <v>3000</v>
      </c>
      <c r="V71" s="107">
        <f>W71/U71</f>
        <v>13.096</v>
      </c>
      <c r="W71" s="54">
        <f>SUM(W61:W70)</f>
        <v>39288</v>
      </c>
      <c r="X71" s="229" t="s">
        <v>213</v>
      </c>
      <c r="Y71" s="230">
        <f>Y62</f>
        <v>3000</v>
      </c>
      <c r="Z71" s="242">
        <f>AA71/Y71</f>
        <v>13.096</v>
      </c>
      <c r="AA71" s="190">
        <f>SUM(AA61:AA70)</f>
        <v>39288</v>
      </c>
      <c r="AB71" s="229" t="s">
        <v>213</v>
      </c>
      <c r="AC71" s="230">
        <f>AC62</f>
        <v>3000</v>
      </c>
      <c r="AD71" s="242">
        <f>AE71/AC71</f>
        <v>13.096</v>
      </c>
      <c r="AE71" s="190">
        <f>SUM(AE61:AE70)</f>
        <v>39288</v>
      </c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</row>
    <row r="72" spans="1:99" s="352" customFormat="1" ht="11.25">
      <c r="A72" s="85"/>
      <c r="B72" s="15"/>
      <c r="C72" s="15" t="s">
        <v>10</v>
      </c>
      <c r="D72" s="15"/>
      <c r="E72" s="15"/>
      <c r="F72" s="15"/>
      <c r="G72" s="15"/>
      <c r="H72" s="478"/>
      <c r="I72" s="87"/>
      <c r="J72" s="87"/>
      <c r="K72" s="480"/>
      <c r="L72" s="159"/>
      <c r="M72" s="56"/>
      <c r="N72" s="87"/>
      <c r="O72" s="32"/>
      <c r="P72" s="438"/>
      <c r="Q72" s="446"/>
      <c r="R72" s="361"/>
      <c r="S72" s="357"/>
      <c r="T72" s="433"/>
      <c r="U72" s="354"/>
      <c r="V72" s="362"/>
      <c r="W72" s="359"/>
      <c r="X72" s="229"/>
      <c r="Y72" s="230"/>
      <c r="Z72" s="192"/>
      <c r="AA72" s="36"/>
      <c r="AB72" s="229"/>
      <c r="AC72" s="230"/>
      <c r="AD72" s="192"/>
      <c r="AE72" s="3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</row>
    <row r="73" spans="1:99" s="352" customFormat="1" ht="11.25">
      <c r="A73" s="85" t="s">
        <v>395</v>
      </c>
      <c r="B73" s="15"/>
      <c r="C73" s="15"/>
      <c r="D73" s="15" t="s">
        <v>17</v>
      </c>
      <c r="E73" s="15"/>
      <c r="F73" s="15"/>
      <c r="G73" s="15"/>
      <c r="H73" s="478"/>
      <c r="I73" s="87"/>
      <c r="J73" s="87"/>
      <c r="K73" s="480"/>
      <c r="L73" s="159"/>
      <c r="M73" s="56"/>
      <c r="N73" s="87"/>
      <c r="O73" s="32"/>
      <c r="P73" s="438"/>
      <c r="Q73" s="446"/>
      <c r="R73" s="363"/>
      <c r="S73" s="357"/>
      <c r="T73" s="433"/>
      <c r="U73" s="354"/>
      <c r="V73" s="364"/>
      <c r="W73" s="359"/>
      <c r="X73" s="229"/>
      <c r="Y73" s="230"/>
      <c r="Z73" s="100"/>
      <c r="AA73" s="36"/>
      <c r="AB73" s="229"/>
      <c r="AC73" s="230"/>
      <c r="AD73" s="100"/>
      <c r="AE73" s="3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</row>
    <row r="74" spans="1:99" s="352" customFormat="1" ht="11.25">
      <c r="A74" s="85" t="s">
        <v>396</v>
      </c>
      <c r="B74" s="15"/>
      <c r="C74" s="15"/>
      <c r="D74" s="15" t="s">
        <v>18</v>
      </c>
      <c r="E74" s="15"/>
      <c r="F74" s="15"/>
      <c r="G74" s="15"/>
      <c r="H74" s="478"/>
      <c r="I74" s="87"/>
      <c r="J74" s="87"/>
      <c r="K74" s="480"/>
      <c r="L74" s="159"/>
      <c r="M74" s="56"/>
      <c r="N74" s="107"/>
      <c r="O74" s="32"/>
      <c r="P74" s="438"/>
      <c r="Q74" s="446"/>
      <c r="R74" s="351"/>
      <c r="S74" s="357"/>
      <c r="T74" s="191" t="s">
        <v>214</v>
      </c>
      <c r="U74" s="230">
        <f>U65</f>
        <v>2400</v>
      </c>
      <c r="V74" s="242">
        <v>0.31</v>
      </c>
      <c r="W74" s="36">
        <f>U74*V74</f>
        <v>744</v>
      </c>
      <c r="X74" s="229" t="s">
        <v>214</v>
      </c>
      <c r="Y74" s="230">
        <v>2400</v>
      </c>
      <c r="Z74" s="242">
        <v>0.31</v>
      </c>
      <c r="AA74" s="36">
        <v>744</v>
      </c>
      <c r="AB74" s="229" t="s">
        <v>214</v>
      </c>
      <c r="AC74" s="230">
        <v>2400</v>
      </c>
      <c r="AD74" s="242">
        <v>0.31</v>
      </c>
      <c r="AE74" s="36">
        <v>744</v>
      </c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</row>
    <row r="75" spans="1:99" s="352" customFormat="1" ht="11.25">
      <c r="A75" s="85"/>
      <c r="B75" s="15"/>
      <c r="C75" s="15" t="s">
        <v>15</v>
      </c>
      <c r="D75" s="15"/>
      <c r="E75" s="15"/>
      <c r="F75" s="15"/>
      <c r="G75" s="15"/>
      <c r="H75" s="478"/>
      <c r="I75" s="87"/>
      <c r="J75" s="87"/>
      <c r="K75" s="480"/>
      <c r="L75" s="159"/>
      <c r="M75" s="56"/>
      <c r="N75" s="87"/>
      <c r="O75" s="32"/>
      <c r="P75" s="438"/>
      <c r="Q75" s="446"/>
      <c r="R75" s="363"/>
      <c r="S75" s="357"/>
      <c r="T75" s="433"/>
      <c r="U75" s="354"/>
      <c r="V75" s="364"/>
      <c r="W75" s="359"/>
      <c r="X75" s="229"/>
      <c r="Y75" s="230"/>
      <c r="Z75" s="100"/>
      <c r="AA75" s="36"/>
      <c r="AB75" s="229"/>
      <c r="AC75" s="230"/>
      <c r="AD75" s="100"/>
      <c r="AE75" s="3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</row>
    <row r="76" spans="1:99" s="352" customFormat="1" ht="11.25">
      <c r="A76" s="85" t="s">
        <v>397</v>
      </c>
      <c r="B76" s="15"/>
      <c r="C76" s="15"/>
      <c r="D76" s="15" t="s">
        <v>17</v>
      </c>
      <c r="E76" s="15"/>
      <c r="F76" s="15"/>
      <c r="G76" s="15"/>
      <c r="H76" s="478"/>
      <c r="I76" s="87"/>
      <c r="J76" s="87"/>
      <c r="K76" s="480"/>
      <c r="L76" s="159"/>
      <c r="M76" s="56"/>
      <c r="N76" s="87"/>
      <c r="O76" s="32"/>
      <c r="P76" s="438"/>
      <c r="Q76" s="446"/>
      <c r="R76" s="363"/>
      <c r="S76" s="357"/>
      <c r="T76" s="433"/>
      <c r="U76" s="354"/>
      <c r="V76" s="364"/>
      <c r="W76" s="359"/>
      <c r="X76" s="229"/>
      <c r="Y76" s="230"/>
      <c r="Z76" s="100"/>
      <c r="AA76" s="36"/>
      <c r="AB76" s="229"/>
      <c r="AC76" s="230"/>
      <c r="AD76" s="100"/>
      <c r="AE76" s="3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6"/>
      <c r="CO76" s="356"/>
      <c r="CP76" s="356"/>
      <c r="CQ76" s="356"/>
      <c r="CR76" s="356"/>
      <c r="CS76" s="356"/>
      <c r="CT76" s="356"/>
      <c r="CU76" s="356"/>
    </row>
    <row r="77" spans="1:99" s="352" customFormat="1" ht="11.25">
      <c r="A77" s="85" t="s">
        <v>398</v>
      </c>
      <c r="B77" s="15"/>
      <c r="C77" s="15"/>
      <c r="D77" s="15" t="s">
        <v>19</v>
      </c>
      <c r="E77" s="15"/>
      <c r="F77" s="15"/>
      <c r="G77" s="15"/>
      <c r="H77" s="478"/>
      <c r="I77" s="87"/>
      <c r="J77" s="87"/>
      <c r="K77" s="480"/>
      <c r="L77" s="159"/>
      <c r="M77" s="56"/>
      <c r="N77" s="107"/>
      <c r="O77" s="32"/>
      <c r="P77" s="438"/>
      <c r="Q77" s="446"/>
      <c r="R77" s="363"/>
      <c r="S77" s="357"/>
      <c r="T77" s="433"/>
      <c r="U77" s="354"/>
      <c r="V77" s="364"/>
      <c r="W77" s="359"/>
      <c r="X77" s="229"/>
      <c r="Y77" s="230"/>
      <c r="Z77" s="100"/>
      <c r="AA77" s="36"/>
      <c r="AB77" s="229"/>
      <c r="AC77" s="230"/>
      <c r="AD77" s="100"/>
      <c r="AE77" s="3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BY77" s="356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</row>
    <row r="78" spans="1:99" s="352" customFormat="1" ht="11.25">
      <c r="A78" s="85"/>
      <c r="B78" s="15"/>
      <c r="C78" s="15" t="s">
        <v>20</v>
      </c>
      <c r="D78" s="15"/>
      <c r="E78" s="15"/>
      <c r="F78" s="15"/>
      <c r="G78" s="15"/>
      <c r="H78" s="478">
        <f>SUM(H72:H77)</f>
        <v>0</v>
      </c>
      <c r="I78" s="87">
        <f>SUM(I72:I77)</f>
        <v>0</v>
      </c>
      <c r="J78" s="87">
        <f>SUM(J72:J77)</f>
        <v>0</v>
      </c>
      <c r="K78" s="480">
        <f>H78+I78+J78</f>
        <v>0</v>
      </c>
      <c r="L78" s="159"/>
      <c r="M78" s="56"/>
      <c r="N78" s="107"/>
      <c r="O78" s="32">
        <f>SUM(O72:O77)</f>
        <v>0</v>
      </c>
      <c r="P78" s="89"/>
      <c r="Q78" s="56"/>
      <c r="R78" s="107"/>
      <c r="S78" s="88">
        <f>SUM(S72:S77)</f>
        <v>0</v>
      </c>
      <c r="T78" s="191" t="s">
        <v>214</v>
      </c>
      <c r="U78" s="230">
        <f>U74</f>
        <v>2400</v>
      </c>
      <c r="V78" s="242">
        <f>W78/U78</f>
        <v>0.31</v>
      </c>
      <c r="W78" s="190">
        <f>SUM(W72:W77)</f>
        <v>744</v>
      </c>
      <c r="X78" s="229" t="s">
        <v>214</v>
      </c>
      <c r="Y78" s="230">
        <f>Y74</f>
        <v>2400</v>
      </c>
      <c r="Z78" s="242">
        <f>AA78/Y78</f>
        <v>0.31</v>
      </c>
      <c r="AA78" s="190">
        <f>SUM(AA72:AA77)</f>
        <v>744</v>
      </c>
      <c r="AB78" s="229" t="s">
        <v>214</v>
      </c>
      <c r="AC78" s="230">
        <f>AC74</f>
        <v>2400</v>
      </c>
      <c r="AD78" s="242">
        <f>AE78/AC78</f>
        <v>0.31</v>
      </c>
      <c r="AE78" s="190">
        <f>SUM(AE72:AE77)</f>
        <v>744</v>
      </c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6"/>
      <c r="CQ78" s="356"/>
      <c r="CR78" s="356"/>
      <c r="CS78" s="356"/>
      <c r="CT78" s="356"/>
      <c r="CU78" s="356"/>
    </row>
    <row r="79" spans="1:99" s="352" customFormat="1" ht="11.25">
      <c r="A79" s="85"/>
      <c r="B79" s="15" t="s">
        <v>362</v>
      </c>
      <c r="C79" s="15"/>
      <c r="D79" s="15"/>
      <c r="E79" s="15"/>
      <c r="F79" s="15"/>
      <c r="G79" s="15"/>
      <c r="H79" s="478">
        <f>H59+H60+H71+H78</f>
        <v>10596</v>
      </c>
      <c r="I79" s="87">
        <f>I59+I60+I71+I78</f>
        <v>13233</v>
      </c>
      <c r="J79" s="87">
        <f>J59+J60+J71+J78</f>
        <v>3000</v>
      </c>
      <c r="K79" s="480">
        <f>K59+K60+K71+K78</f>
        <v>26829</v>
      </c>
      <c r="L79" s="159" t="s">
        <v>213</v>
      </c>
      <c r="M79" s="56">
        <f>M71</f>
        <v>3000</v>
      </c>
      <c r="N79" s="107">
        <f>O79/M79</f>
        <v>8.943</v>
      </c>
      <c r="O79" s="32">
        <f>O59+O71+O78</f>
        <v>26829</v>
      </c>
      <c r="P79" s="89" t="s">
        <v>213</v>
      </c>
      <c r="Q79" s="56">
        <f>Q71</f>
        <v>3000</v>
      </c>
      <c r="R79" s="107">
        <f>S79/Q79</f>
        <v>8.943</v>
      </c>
      <c r="S79" s="88">
        <f>S59+S71+S78</f>
        <v>26829</v>
      </c>
      <c r="T79" s="191" t="s">
        <v>213</v>
      </c>
      <c r="U79" s="230">
        <f>U71</f>
        <v>3000</v>
      </c>
      <c r="V79" s="242">
        <f>W79/U79</f>
        <v>14.624</v>
      </c>
      <c r="W79" s="190">
        <f>W59+W71+W78</f>
        <v>43872</v>
      </c>
      <c r="X79" s="229" t="s">
        <v>213</v>
      </c>
      <c r="Y79" s="230">
        <f>Y71</f>
        <v>3000</v>
      </c>
      <c r="Z79" s="242">
        <f>AA79/Y79</f>
        <v>14.624</v>
      </c>
      <c r="AA79" s="190">
        <f>AA59+AA71+AA78</f>
        <v>43872</v>
      </c>
      <c r="AB79" s="229" t="s">
        <v>213</v>
      </c>
      <c r="AC79" s="230">
        <f>AC71</f>
        <v>3000</v>
      </c>
      <c r="AD79" s="242">
        <f>AE79/AC79</f>
        <v>14.624</v>
      </c>
      <c r="AE79" s="190">
        <f>AE59+AE71+AE78</f>
        <v>43872</v>
      </c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</row>
    <row r="80" spans="1:31" ht="11.25">
      <c r="A80" s="85"/>
      <c r="H80" s="478"/>
      <c r="I80" s="87"/>
      <c r="J80" s="87"/>
      <c r="K80" s="480"/>
      <c r="L80" s="159"/>
      <c r="M80" s="56"/>
      <c r="N80" s="107"/>
      <c r="O80" s="32"/>
      <c r="P80" s="89"/>
      <c r="Q80" s="56"/>
      <c r="R80" s="87"/>
      <c r="S80" s="88"/>
      <c r="T80" s="191"/>
      <c r="U80" s="230"/>
      <c r="V80" s="189"/>
      <c r="W80" s="190"/>
      <c r="X80" s="229"/>
      <c r="Y80" s="230"/>
      <c r="Z80" s="189"/>
      <c r="AA80" s="190"/>
      <c r="AB80" s="229"/>
      <c r="AC80" s="230"/>
      <c r="AD80" s="189"/>
      <c r="AE80" s="190"/>
    </row>
    <row r="81" spans="1:31" ht="11.25">
      <c r="A81" s="85" t="s">
        <v>399</v>
      </c>
      <c r="B81" s="15" t="s">
        <v>348</v>
      </c>
      <c r="H81" s="478">
        <f>23333+2086+11939+2400</f>
        <v>39758</v>
      </c>
      <c r="I81" s="87">
        <f>32857+977+16674</f>
        <v>50508</v>
      </c>
      <c r="J81" s="87">
        <v>0</v>
      </c>
      <c r="K81" s="480">
        <f>H81+I81+J81</f>
        <v>90266</v>
      </c>
      <c r="L81" s="159" t="s">
        <v>213</v>
      </c>
      <c r="M81" s="422">
        <f>40500+450</f>
        <v>40950</v>
      </c>
      <c r="N81" s="107">
        <f>O81/M81</f>
        <v>2.2042979242979244</v>
      </c>
      <c r="O81" s="32">
        <f>K81</f>
        <v>90266</v>
      </c>
      <c r="P81" s="89" t="s">
        <v>213</v>
      </c>
      <c r="Q81" s="422">
        <f>40500+450</f>
        <v>40950</v>
      </c>
      <c r="R81" s="107">
        <f>S81/Q81</f>
        <v>2.2042979242979244</v>
      </c>
      <c r="S81" s="54">
        <f>O81</f>
        <v>90266</v>
      </c>
      <c r="T81" s="89" t="s">
        <v>213</v>
      </c>
      <c r="U81" s="422">
        <f>40500+450</f>
        <v>40950</v>
      </c>
      <c r="V81" s="107">
        <f>W81/U81</f>
        <v>2.2042979242979244</v>
      </c>
      <c r="W81" s="54">
        <f>S81</f>
        <v>90266</v>
      </c>
      <c r="X81" s="229" t="s">
        <v>213</v>
      </c>
      <c r="Y81" s="231">
        <v>40950</v>
      </c>
      <c r="Z81" s="242">
        <v>2.2042979242979244</v>
      </c>
      <c r="AA81" s="190">
        <v>90266</v>
      </c>
      <c r="AB81" s="229" t="s">
        <v>213</v>
      </c>
      <c r="AC81" s="231">
        <v>40950</v>
      </c>
      <c r="AD81" s="242">
        <v>2.2042979242979244</v>
      </c>
      <c r="AE81" s="190">
        <v>90266</v>
      </c>
    </row>
    <row r="82" spans="1:31" ht="12" thickBot="1">
      <c r="A82" s="90" t="s">
        <v>400</v>
      </c>
      <c r="B82" s="91" t="s">
        <v>27</v>
      </c>
      <c r="C82" s="91"/>
      <c r="D82" s="91"/>
      <c r="E82" s="91"/>
      <c r="F82" s="91"/>
      <c r="G82" s="91"/>
      <c r="H82" s="483"/>
      <c r="I82" s="339"/>
      <c r="J82" s="339"/>
      <c r="K82" s="484"/>
      <c r="L82" s="414"/>
      <c r="M82" s="423"/>
      <c r="N82" s="339"/>
      <c r="O82" s="92"/>
      <c r="P82" s="439"/>
      <c r="Q82" s="116"/>
      <c r="R82" s="233"/>
      <c r="S82" s="194"/>
      <c r="T82" s="439"/>
      <c r="U82" s="116"/>
      <c r="V82" s="233"/>
      <c r="W82" s="194"/>
      <c r="X82" s="232"/>
      <c r="Y82" s="116"/>
      <c r="Z82" s="233"/>
      <c r="AA82" s="194"/>
      <c r="AB82" s="232"/>
      <c r="AC82" s="116"/>
      <c r="AD82" s="233"/>
      <c r="AE82" s="194"/>
    </row>
    <row r="83" spans="1:31" ht="12" thickTop="1">
      <c r="A83" s="347"/>
      <c r="B83" s="93" t="s">
        <v>187</v>
      </c>
      <c r="C83" s="93"/>
      <c r="D83" s="93"/>
      <c r="E83" s="93"/>
      <c r="F83" s="93"/>
      <c r="G83" s="93"/>
      <c r="H83" s="485">
        <f>+H28+H31+H55+H79+H81</f>
        <v>513822</v>
      </c>
      <c r="I83" s="447">
        <f>+I28+I31+I55+I79+I81</f>
        <v>749477</v>
      </c>
      <c r="J83" s="447">
        <f>+J28+J31+J55+J79+J81</f>
        <v>431534</v>
      </c>
      <c r="K83" s="486">
        <f>+K28+K31+K55+K79+K81</f>
        <v>1694833</v>
      </c>
      <c r="L83" s="416" t="s">
        <v>213</v>
      </c>
      <c r="M83" s="424">
        <f>M28+M55+M79+M81</f>
        <v>390350</v>
      </c>
      <c r="N83" s="365">
        <f>O83/M83</f>
        <v>4.341829127705905</v>
      </c>
      <c r="O83" s="104">
        <f>+O28+O31+O55+O79+O81</f>
        <v>1694833</v>
      </c>
      <c r="P83" s="442" t="s">
        <v>213</v>
      </c>
      <c r="Q83" s="239">
        <f>Q28+Q55+Q79+Q81</f>
        <v>390350</v>
      </c>
      <c r="R83" s="448">
        <f>S83/Q83</f>
        <v>4.341829127705905</v>
      </c>
      <c r="S83" s="241">
        <f>+S28+S31+S55+S79+S81</f>
        <v>1694833</v>
      </c>
      <c r="T83" s="409" t="s">
        <v>213</v>
      </c>
      <c r="U83" s="239">
        <f>U28+U55+U79+U81</f>
        <v>421350</v>
      </c>
      <c r="V83" s="448">
        <f>W83/U83</f>
        <v>5.547060638424113</v>
      </c>
      <c r="W83" s="241">
        <f>+W28+W31+W55+W79+W81</f>
        <v>2337254</v>
      </c>
      <c r="X83" s="238" t="s">
        <v>213</v>
      </c>
      <c r="Y83" s="239">
        <f>Y28+Y55+Y79+Y81</f>
        <v>421350</v>
      </c>
      <c r="Z83" s="448">
        <f>AA83/Y83</f>
        <v>5.547060638424113</v>
      </c>
      <c r="AA83" s="241">
        <f>+AA28+AA31+AA55+AA79+AA81</f>
        <v>2337254</v>
      </c>
      <c r="AB83" s="238" t="s">
        <v>213</v>
      </c>
      <c r="AC83" s="239">
        <f>AC28+AC55+AC79+AC81</f>
        <v>421350</v>
      </c>
      <c r="AD83" s="448">
        <f>AE83/AC83</f>
        <v>5.547060638424113</v>
      </c>
      <c r="AE83" s="241">
        <f>+AE28+AE31+AE55+AE79+AE81</f>
        <v>2337254</v>
      </c>
    </row>
    <row r="84" spans="1:31" ht="11.25">
      <c r="A84" s="85"/>
      <c r="B84" s="98"/>
      <c r="C84" s="51"/>
      <c r="D84" s="51"/>
      <c r="E84" s="51"/>
      <c r="F84" s="51"/>
      <c r="G84" s="51"/>
      <c r="H84" s="478"/>
      <c r="I84" s="87"/>
      <c r="J84" s="87"/>
      <c r="K84" s="480"/>
      <c r="L84" s="159"/>
      <c r="M84" s="56"/>
      <c r="N84" s="87"/>
      <c r="O84" s="32"/>
      <c r="P84" s="124"/>
      <c r="Q84" s="230"/>
      <c r="R84" s="189"/>
      <c r="S84" s="190"/>
      <c r="T84" s="191"/>
      <c r="U84" s="230"/>
      <c r="V84" s="189"/>
      <c r="W84" s="190"/>
      <c r="X84" s="229"/>
      <c r="Y84" s="230"/>
      <c r="Z84" s="189"/>
      <c r="AA84" s="190"/>
      <c r="AB84" s="229"/>
      <c r="AC84" s="230"/>
      <c r="AD84" s="189"/>
      <c r="AE84" s="190"/>
    </row>
    <row r="85" spans="1:31" ht="12">
      <c r="A85" s="85">
        <v>2</v>
      </c>
      <c r="B85" s="35" t="s">
        <v>267</v>
      </c>
      <c r="C85" s="51"/>
      <c r="D85" s="51"/>
      <c r="E85" s="51"/>
      <c r="F85" s="51"/>
      <c r="G85" s="51"/>
      <c r="H85" s="478"/>
      <c r="I85" s="87"/>
      <c r="J85" s="87"/>
      <c r="K85" s="480"/>
      <c r="L85" s="159"/>
      <c r="M85" s="56"/>
      <c r="N85" s="87"/>
      <c r="O85" s="32"/>
      <c r="P85" s="124"/>
      <c r="Q85" s="230"/>
      <c r="R85" s="189"/>
      <c r="S85" s="190"/>
      <c r="T85" s="191"/>
      <c r="U85" s="230"/>
      <c r="V85" s="189"/>
      <c r="W85" s="190"/>
      <c r="X85" s="229"/>
      <c r="Y85" s="230"/>
      <c r="Z85" s="189"/>
      <c r="AA85" s="190"/>
      <c r="AB85" s="229"/>
      <c r="AC85" s="230"/>
      <c r="AD85" s="189"/>
      <c r="AE85" s="190"/>
    </row>
    <row r="86" spans="1:31" ht="11.25">
      <c r="A86" s="85"/>
      <c r="B86" s="98"/>
      <c r="C86" s="51"/>
      <c r="D86" s="51"/>
      <c r="E86" s="51"/>
      <c r="F86" s="51"/>
      <c r="G86" s="51"/>
      <c r="H86" s="478"/>
      <c r="I86" s="87"/>
      <c r="J86" s="87"/>
      <c r="K86" s="480"/>
      <c r="L86" s="159"/>
      <c r="M86" s="56"/>
      <c r="N86" s="87"/>
      <c r="O86" s="32"/>
      <c r="P86" s="124"/>
      <c r="Q86" s="230"/>
      <c r="R86" s="189"/>
      <c r="S86" s="190"/>
      <c r="T86" s="191"/>
      <c r="U86" s="230"/>
      <c r="V86" s="189"/>
      <c r="W86" s="190"/>
      <c r="X86" s="229"/>
      <c r="Y86" s="230"/>
      <c r="Z86" s="189"/>
      <c r="AA86" s="190"/>
      <c r="AB86" s="229"/>
      <c r="AC86" s="230"/>
      <c r="AD86" s="189"/>
      <c r="AE86" s="190"/>
    </row>
    <row r="87" spans="1:31" ht="11.25">
      <c r="A87" s="85" t="s">
        <v>21</v>
      </c>
      <c r="B87" s="15" t="s">
        <v>31</v>
      </c>
      <c r="D87" s="51"/>
      <c r="E87" s="51"/>
      <c r="F87" s="51"/>
      <c r="G87" s="51"/>
      <c r="H87" s="478"/>
      <c r="I87" s="87"/>
      <c r="J87" s="87"/>
      <c r="K87" s="482"/>
      <c r="L87" s="159"/>
      <c r="M87" s="56"/>
      <c r="N87" s="87"/>
      <c r="O87" s="32"/>
      <c r="P87" s="124"/>
      <c r="Q87" s="230"/>
      <c r="R87" s="189"/>
      <c r="S87" s="190"/>
      <c r="T87" s="191"/>
      <c r="U87" s="230"/>
      <c r="V87" s="189"/>
      <c r="W87" s="190"/>
      <c r="X87" s="229"/>
      <c r="Y87" s="230"/>
      <c r="Z87" s="189"/>
      <c r="AA87" s="190"/>
      <c r="AB87" s="229"/>
      <c r="AC87" s="230"/>
      <c r="AD87" s="189"/>
      <c r="AE87" s="190"/>
    </row>
    <row r="88" spans="1:31" ht="11.25">
      <c r="A88" s="85" t="s">
        <v>51</v>
      </c>
      <c r="C88" s="15" t="s">
        <v>177</v>
      </c>
      <c r="D88" s="51"/>
      <c r="E88" s="51"/>
      <c r="F88" s="51"/>
      <c r="G88" s="51"/>
      <c r="H88" s="478">
        <f>5215+3878+44911+7528+10824+1624+8691+5794</f>
        <v>88465</v>
      </c>
      <c r="I88" s="87">
        <f>2443+1063+12308+2063+14067+2110+4071+2714</f>
        <v>40839</v>
      </c>
      <c r="J88" s="87">
        <v>500</v>
      </c>
      <c r="K88" s="480">
        <f>H88+I88+J88</f>
        <v>129804</v>
      </c>
      <c r="L88" s="159" t="s">
        <v>208</v>
      </c>
      <c r="M88" s="56">
        <v>139</v>
      </c>
      <c r="N88" s="87">
        <f>O88/M88</f>
        <v>933.841726618705</v>
      </c>
      <c r="O88" s="32">
        <f>K88</f>
        <v>129804</v>
      </c>
      <c r="P88" s="89" t="s">
        <v>208</v>
      </c>
      <c r="Q88" s="56">
        <v>139</v>
      </c>
      <c r="R88" s="87">
        <f>S88/Q88</f>
        <v>933.841726618705</v>
      </c>
      <c r="S88" s="88">
        <f>O88</f>
        <v>129804</v>
      </c>
      <c r="T88" s="89" t="s">
        <v>208</v>
      </c>
      <c r="U88" s="56">
        <v>139</v>
      </c>
      <c r="V88" s="87">
        <f>W88/U88</f>
        <v>933.841726618705</v>
      </c>
      <c r="W88" s="88">
        <f>S88</f>
        <v>129804</v>
      </c>
      <c r="X88" s="89" t="s">
        <v>208</v>
      </c>
      <c r="Y88" s="56">
        <v>139</v>
      </c>
      <c r="Z88" s="87">
        <f>AA88/Y88</f>
        <v>933.841726618705</v>
      </c>
      <c r="AA88" s="88">
        <f>W88</f>
        <v>129804</v>
      </c>
      <c r="AB88" s="89" t="s">
        <v>208</v>
      </c>
      <c r="AC88" s="56">
        <v>139</v>
      </c>
      <c r="AD88" s="87">
        <f>AE88/AC88</f>
        <v>933.841726618705</v>
      </c>
      <c r="AE88" s="88">
        <f>AA88</f>
        <v>129804</v>
      </c>
    </row>
    <row r="89" spans="1:31" ht="11.25">
      <c r="A89" s="85" t="s">
        <v>52</v>
      </c>
      <c r="C89" s="15" t="s">
        <v>178</v>
      </c>
      <c r="D89" s="51"/>
      <c r="E89" s="51"/>
      <c r="F89" s="51"/>
      <c r="G89" s="51"/>
      <c r="H89" s="478"/>
      <c r="I89" s="87"/>
      <c r="J89" s="87"/>
      <c r="K89" s="480"/>
      <c r="L89" s="159"/>
      <c r="M89" s="56"/>
      <c r="N89" s="87"/>
      <c r="O89" s="32"/>
      <c r="P89" s="89"/>
      <c r="Q89" s="56"/>
      <c r="R89" s="87"/>
      <c r="S89" s="54"/>
      <c r="T89" s="89"/>
      <c r="U89" s="56"/>
      <c r="V89" s="87"/>
      <c r="W89" s="54"/>
      <c r="X89" s="89"/>
      <c r="Y89" s="56"/>
      <c r="Z89" s="87"/>
      <c r="AA89" s="54"/>
      <c r="AB89" s="89"/>
      <c r="AC89" s="56"/>
      <c r="AD89" s="87"/>
      <c r="AE89" s="54"/>
    </row>
    <row r="90" spans="1:31" ht="11.25">
      <c r="A90" s="85" t="s">
        <v>22</v>
      </c>
      <c r="B90" s="98" t="s">
        <v>272</v>
      </c>
      <c r="C90" s="51"/>
      <c r="D90" s="51"/>
      <c r="E90" s="51"/>
      <c r="F90" s="51"/>
      <c r="G90" s="51"/>
      <c r="H90" s="478">
        <v>318670</v>
      </c>
      <c r="I90" s="87">
        <v>149270</v>
      </c>
      <c r="J90" s="87">
        <v>250000</v>
      </c>
      <c r="K90" s="480">
        <f>H90+I90+J90</f>
        <v>717940</v>
      </c>
      <c r="L90" s="159" t="s">
        <v>279</v>
      </c>
      <c r="M90" s="56">
        <v>100000</v>
      </c>
      <c r="N90" s="107">
        <f>O90/M90</f>
        <v>7.1794</v>
      </c>
      <c r="O90" s="32">
        <f>K90</f>
        <v>717940</v>
      </c>
      <c r="P90" s="89" t="s">
        <v>279</v>
      </c>
      <c r="Q90" s="56">
        <v>100000</v>
      </c>
      <c r="R90" s="107">
        <f>S90/Q90</f>
        <v>7.1794</v>
      </c>
      <c r="S90" s="88">
        <f>O90</f>
        <v>717940</v>
      </c>
      <c r="T90" s="89" t="s">
        <v>279</v>
      </c>
      <c r="U90" s="56">
        <v>100000</v>
      </c>
      <c r="V90" s="107">
        <f>W90/U90</f>
        <v>7.1794</v>
      </c>
      <c r="W90" s="88">
        <f>S90</f>
        <v>717940</v>
      </c>
      <c r="X90" s="89" t="s">
        <v>279</v>
      </c>
      <c r="Y90" s="56">
        <v>100000</v>
      </c>
      <c r="Z90" s="107">
        <f>AA90/Y90</f>
        <v>7.1794</v>
      </c>
      <c r="AA90" s="88">
        <f>W90</f>
        <v>717940</v>
      </c>
      <c r="AB90" s="89" t="s">
        <v>279</v>
      </c>
      <c r="AC90" s="56">
        <v>100000</v>
      </c>
      <c r="AD90" s="107">
        <f>AE90/AC90</f>
        <v>7.1794</v>
      </c>
      <c r="AE90" s="88">
        <f>AA90</f>
        <v>717940</v>
      </c>
    </row>
    <row r="91" spans="1:31" ht="11.25">
      <c r="A91" s="85" t="s">
        <v>23</v>
      </c>
      <c r="B91" s="98" t="s">
        <v>271</v>
      </c>
      <c r="C91" s="51"/>
      <c r="D91" s="51"/>
      <c r="E91" s="51"/>
      <c r="F91" s="51"/>
      <c r="G91" s="51"/>
      <c r="H91" s="478">
        <v>34764</v>
      </c>
      <c r="I91" s="87">
        <v>16284</v>
      </c>
      <c r="J91" s="87">
        <v>34000</v>
      </c>
      <c r="K91" s="480">
        <f>H91+I91+J91</f>
        <v>85048</v>
      </c>
      <c r="L91" s="159" t="s">
        <v>213</v>
      </c>
      <c r="M91" s="56">
        <v>200</v>
      </c>
      <c r="N91" s="87">
        <f>O91/M91</f>
        <v>425.24</v>
      </c>
      <c r="O91" s="32">
        <f>K91</f>
        <v>85048</v>
      </c>
      <c r="P91" s="89" t="s">
        <v>213</v>
      </c>
      <c r="Q91" s="56">
        <v>200</v>
      </c>
      <c r="R91" s="87">
        <f>S91/Q91</f>
        <v>425.24</v>
      </c>
      <c r="S91" s="88">
        <f>O91</f>
        <v>85048</v>
      </c>
      <c r="T91" s="89" t="s">
        <v>213</v>
      </c>
      <c r="U91" s="56">
        <v>200</v>
      </c>
      <c r="V91" s="87">
        <f>W91/U91</f>
        <v>425.24</v>
      </c>
      <c r="W91" s="88">
        <f>S91</f>
        <v>85048</v>
      </c>
      <c r="X91" s="89" t="s">
        <v>213</v>
      </c>
      <c r="Y91" s="56">
        <v>200</v>
      </c>
      <c r="Z91" s="87">
        <f>AA91/Y91</f>
        <v>425.24</v>
      </c>
      <c r="AA91" s="88">
        <f>W91</f>
        <v>85048</v>
      </c>
      <c r="AB91" s="89" t="s">
        <v>213</v>
      </c>
      <c r="AC91" s="56">
        <v>200</v>
      </c>
      <c r="AD91" s="87">
        <f>AE91/AC91</f>
        <v>425.24</v>
      </c>
      <c r="AE91" s="88">
        <f>AA91</f>
        <v>85048</v>
      </c>
    </row>
    <row r="92" spans="1:31" ht="11.25">
      <c r="A92" s="85" t="s">
        <v>24</v>
      </c>
      <c r="B92" s="98" t="s">
        <v>273</v>
      </c>
      <c r="C92" s="51"/>
      <c r="D92" s="51"/>
      <c r="E92" s="51"/>
      <c r="F92" s="51"/>
      <c r="G92" s="51"/>
      <c r="H92" s="478">
        <f>26073+14000</f>
        <v>40073</v>
      </c>
      <c r="I92" s="87">
        <v>12213</v>
      </c>
      <c r="J92" s="87">
        <v>15000</v>
      </c>
      <c r="K92" s="480">
        <f>H92+I92+J92</f>
        <v>67286</v>
      </c>
      <c r="L92" s="159" t="s">
        <v>280</v>
      </c>
      <c r="M92" s="56">
        <v>3700</v>
      </c>
      <c r="N92" s="87">
        <f>O92/M92</f>
        <v>18.185405405405405</v>
      </c>
      <c r="O92" s="32">
        <f>K92</f>
        <v>67286</v>
      </c>
      <c r="P92" s="89" t="s">
        <v>280</v>
      </c>
      <c r="Q92" s="56">
        <v>3700</v>
      </c>
      <c r="R92" s="87">
        <f>S92/Q92</f>
        <v>18.185405405405405</v>
      </c>
      <c r="S92" s="88">
        <f>O92</f>
        <v>67286</v>
      </c>
      <c r="T92" s="89" t="s">
        <v>280</v>
      </c>
      <c r="U92" s="56">
        <v>3700</v>
      </c>
      <c r="V92" s="87">
        <f>W92/U92</f>
        <v>18.185405405405405</v>
      </c>
      <c r="W92" s="88">
        <f>S92</f>
        <v>67286</v>
      </c>
      <c r="X92" s="89" t="s">
        <v>280</v>
      </c>
      <c r="Y92" s="56">
        <v>3700</v>
      </c>
      <c r="Z92" s="87">
        <f>AA92/Y92</f>
        <v>18.185405405405405</v>
      </c>
      <c r="AA92" s="88">
        <f>W92</f>
        <v>67286</v>
      </c>
      <c r="AB92" s="89" t="s">
        <v>280</v>
      </c>
      <c r="AC92" s="56">
        <v>3700</v>
      </c>
      <c r="AD92" s="87">
        <f>AE92/AC92</f>
        <v>18.185405405405405</v>
      </c>
      <c r="AE92" s="88">
        <f>AA92</f>
        <v>67286</v>
      </c>
    </row>
    <row r="93" spans="1:31" ht="11.25">
      <c r="A93" s="85"/>
      <c r="B93" s="98"/>
      <c r="C93" s="51"/>
      <c r="D93" s="51"/>
      <c r="E93" s="51"/>
      <c r="F93" s="51"/>
      <c r="G93" s="51"/>
      <c r="H93" s="478"/>
      <c r="I93" s="87"/>
      <c r="J93" s="87"/>
      <c r="K93" s="480"/>
      <c r="L93" s="159"/>
      <c r="M93" s="56"/>
      <c r="N93" s="87"/>
      <c r="O93" s="32"/>
      <c r="P93" s="124"/>
      <c r="Q93" s="230"/>
      <c r="R93" s="189"/>
      <c r="S93" s="190"/>
      <c r="T93" s="191"/>
      <c r="U93" s="230"/>
      <c r="V93" s="189"/>
      <c r="W93" s="190"/>
      <c r="X93" s="229"/>
      <c r="Y93" s="230"/>
      <c r="Z93" s="189"/>
      <c r="AA93" s="190"/>
      <c r="AB93" s="229"/>
      <c r="AC93" s="230"/>
      <c r="AD93" s="189"/>
      <c r="AE93" s="190"/>
    </row>
    <row r="94" spans="1:31" ht="11.25">
      <c r="A94" s="85" t="s">
        <v>25</v>
      </c>
      <c r="B94" s="98" t="s">
        <v>301</v>
      </c>
      <c r="C94" s="98"/>
      <c r="H94" s="478"/>
      <c r="I94" s="87"/>
      <c r="J94" s="87"/>
      <c r="K94" s="480"/>
      <c r="L94" s="159"/>
      <c r="M94" s="56"/>
      <c r="N94" s="87"/>
      <c r="O94" s="32"/>
      <c r="P94" s="89"/>
      <c r="Q94" s="84"/>
      <c r="R94" s="87"/>
      <c r="S94" s="33"/>
      <c r="T94" s="191"/>
      <c r="U94" s="113"/>
      <c r="V94" s="189"/>
      <c r="W94" s="36"/>
      <c r="X94" s="229"/>
      <c r="Y94" s="113"/>
      <c r="Z94" s="189"/>
      <c r="AA94" s="36"/>
      <c r="AB94" s="229"/>
      <c r="AC94" s="113"/>
      <c r="AD94" s="189"/>
      <c r="AE94" s="36"/>
    </row>
    <row r="95" spans="1:31" ht="11.25">
      <c r="A95" s="85"/>
      <c r="C95" s="15" t="s">
        <v>31</v>
      </c>
      <c r="H95" s="481"/>
      <c r="I95" s="84"/>
      <c r="J95" s="84"/>
      <c r="K95" s="482"/>
      <c r="L95" s="159"/>
      <c r="M95" s="56"/>
      <c r="N95" s="87"/>
      <c r="O95" s="32"/>
      <c r="P95" s="89"/>
      <c r="Q95" s="84"/>
      <c r="R95" s="87"/>
      <c r="S95" s="33"/>
      <c r="T95" s="191"/>
      <c r="U95" s="113"/>
      <c r="V95" s="189"/>
      <c r="W95" s="36"/>
      <c r="X95" s="229"/>
      <c r="Y95" s="113"/>
      <c r="Z95" s="189"/>
      <c r="AA95" s="36"/>
      <c r="AB95" s="229"/>
      <c r="AC95" s="113"/>
      <c r="AD95" s="189"/>
      <c r="AE95" s="36"/>
    </row>
    <row r="96" spans="1:31" ht="11.25">
      <c r="A96" s="102" t="s">
        <v>133</v>
      </c>
      <c r="D96" s="15" t="s">
        <v>177</v>
      </c>
      <c r="H96" s="478">
        <f>17382+406+4346+17011+521+433</f>
        <v>40099</v>
      </c>
      <c r="I96" s="87">
        <f>8142+190+2036+7968+244+563</f>
        <v>19143</v>
      </c>
      <c r="J96" s="87">
        <v>0</v>
      </c>
      <c r="K96" s="480">
        <f>H96+I96+J96</f>
        <v>59242</v>
      </c>
      <c r="L96" s="159" t="s">
        <v>208</v>
      </c>
      <c r="M96" s="56">
        <v>5</v>
      </c>
      <c r="N96" s="87">
        <f>O96/M96</f>
        <v>11848.4</v>
      </c>
      <c r="O96" s="32">
        <f>K96</f>
        <v>59242</v>
      </c>
      <c r="P96" s="89" t="s">
        <v>208</v>
      </c>
      <c r="Q96" s="56">
        <v>5</v>
      </c>
      <c r="R96" s="87">
        <f>S96/Q96</f>
        <v>11848.4</v>
      </c>
      <c r="S96" s="88">
        <f>O96</f>
        <v>59242</v>
      </c>
      <c r="T96" s="89" t="s">
        <v>208</v>
      </c>
      <c r="U96" s="56">
        <v>5</v>
      </c>
      <c r="V96" s="87">
        <f>W96/U96</f>
        <v>11848.4</v>
      </c>
      <c r="W96" s="88">
        <f>S96</f>
        <v>59242</v>
      </c>
      <c r="X96" s="229" t="s">
        <v>208</v>
      </c>
      <c r="Y96" s="230">
        <v>5</v>
      </c>
      <c r="Z96" s="189">
        <v>11848.4</v>
      </c>
      <c r="AA96" s="190">
        <v>59242</v>
      </c>
      <c r="AB96" s="229" t="s">
        <v>208</v>
      </c>
      <c r="AC96" s="230">
        <v>5</v>
      </c>
      <c r="AD96" s="189">
        <v>11848.4</v>
      </c>
      <c r="AE96" s="190">
        <v>59242</v>
      </c>
    </row>
    <row r="97" spans="1:31" ht="11.25">
      <c r="A97" s="102" t="s">
        <v>134</v>
      </c>
      <c r="D97" s="15" t="s">
        <v>178</v>
      </c>
      <c r="H97" s="478">
        <v>4867</v>
      </c>
      <c r="I97" s="87">
        <v>2280</v>
      </c>
      <c r="J97" s="87">
        <v>0</v>
      </c>
      <c r="K97" s="480">
        <f>H97+I97+J97</f>
        <v>7147</v>
      </c>
      <c r="L97" s="159" t="s">
        <v>213</v>
      </c>
      <c r="M97" s="56">
        <v>70</v>
      </c>
      <c r="N97" s="87">
        <f>O97/M97</f>
        <v>102.1</v>
      </c>
      <c r="O97" s="32">
        <f>K97</f>
        <v>7147</v>
      </c>
      <c r="P97" s="89" t="s">
        <v>213</v>
      </c>
      <c r="Q97" s="56">
        <v>70</v>
      </c>
      <c r="R97" s="87">
        <f>S97/Q97</f>
        <v>102.1</v>
      </c>
      <c r="S97" s="88">
        <f>O97</f>
        <v>7147</v>
      </c>
      <c r="T97" s="89" t="s">
        <v>213</v>
      </c>
      <c r="U97" s="56">
        <v>70</v>
      </c>
      <c r="V97" s="87">
        <f>W97/U97</f>
        <v>102.1</v>
      </c>
      <c r="W97" s="88">
        <f>S97</f>
        <v>7147</v>
      </c>
      <c r="X97" s="229" t="s">
        <v>213</v>
      </c>
      <c r="Y97" s="230">
        <v>70</v>
      </c>
      <c r="Z97" s="189">
        <v>102.1</v>
      </c>
      <c r="AA97" s="190">
        <v>7147</v>
      </c>
      <c r="AB97" s="229" t="s">
        <v>213</v>
      </c>
      <c r="AC97" s="230">
        <v>70</v>
      </c>
      <c r="AD97" s="189">
        <v>102.1</v>
      </c>
      <c r="AE97" s="190">
        <v>7147</v>
      </c>
    </row>
    <row r="98" spans="1:31" ht="11.25">
      <c r="A98" s="102" t="s">
        <v>135</v>
      </c>
      <c r="C98" s="15" t="s">
        <v>300</v>
      </c>
      <c r="H98" s="478">
        <v>61706</v>
      </c>
      <c r="I98" s="87">
        <v>28904</v>
      </c>
      <c r="J98" s="87">
        <v>60350</v>
      </c>
      <c r="K98" s="480">
        <f>H98+I98+J98</f>
        <v>150960</v>
      </c>
      <c r="L98" s="159" t="s">
        <v>213</v>
      </c>
      <c r="M98" s="56">
        <v>355</v>
      </c>
      <c r="N98" s="87">
        <f>O98/M98</f>
        <v>425.23943661971833</v>
      </c>
      <c r="O98" s="32">
        <f>K98</f>
        <v>150960</v>
      </c>
      <c r="P98" s="89" t="s">
        <v>213</v>
      </c>
      <c r="Q98" s="56">
        <v>355</v>
      </c>
      <c r="R98" s="87">
        <f>S98/Q98</f>
        <v>425.23943661971833</v>
      </c>
      <c r="S98" s="88">
        <f>O98</f>
        <v>150960</v>
      </c>
      <c r="T98" s="89" t="s">
        <v>213</v>
      </c>
      <c r="U98" s="56">
        <v>355</v>
      </c>
      <c r="V98" s="87">
        <f>W98/U98</f>
        <v>425.23943661971833</v>
      </c>
      <c r="W98" s="88">
        <f>S98</f>
        <v>150960</v>
      </c>
      <c r="X98" s="229" t="s">
        <v>213</v>
      </c>
      <c r="Y98" s="230">
        <v>355</v>
      </c>
      <c r="Z98" s="189">
        <v>425.23943661971833</v>
      </c>
      <c r="AA98" s="190">
        <v>150960</v>
      </c>
      <c r="AB98" s="229" t="s">
        <v>213</v>
      </c>
      <c r="AC98" s="230">
        <v>355</v>
      </c>
      <c r="AD98" s="189">
        <v>425.23943661971833</v>
      </c>
      <c r="AE98" s="190">
        <v>150960</v>
      </c>
    </row>
    <row r="99" spans="1:31" ht="11.25">
      <c r="A99" s="102"/>
      <c r="C99" s="15" t="s">
        <v>10</v>
      </c>
      <c r="H99" s="478"/>
      <c r="I99" s="87"/>
      <c r="J99" s="87"/>
      <c r="K99" s="480"/>
      <c r="L99" s="159"/>
      <c r="M99" s="56"/>
      <c r="N99" s="87"/>
      <c r="O99" s="32"/>
      <c r="P99" s="89"/>
      <c r="Q99" s="56"/>
      <c r="R99" s="87"/>
      <c r="S99" s="88"/>
      <c r="T99" s="89"/>
      <c r="U99" s="56"/>
      <c r="V99" s="87"/>
      <c r="W99" s="88"/>
      <c r="X99" s="229"/>
      <c r="Y99" s="230"/>
      <c r="Z99" s="189"/>
      <c r="AA99" s="190"/>
      <c r="AB99" s="229"/>
      <c r="AC99" s="230"/>
      <c r="AD99" s="189"/>
      <c r="AE99" s="190"/>
    </row>
    <row r="100" spans="1:31" ht="11.25">
      <c r="A100" s="102" t="s">
        <v>136</v>
      </c>
      <c r="D100" s="15" t="s">
        <v>11</v>
      </c>
      <c r="H100" s="478">
        <f>541+481+455+157+3546+2404+2730+786+13733</f>
        <v>24833</v>
      </c>
      <c r="I100" s="87">
        <f>1038+824+6806+4120+11064</f>
        <v>23852</v>
      </c>
      <c r="J100" s="87">
        <v>225</v>
      </c>
      <c r="K100" s="480">
        <f>H100+I100+J100</f>
        <v>48910</v>
      </c>
      <c r="L100" s="159" t="s">
        <v>213</v>
      </c>
      <c r="M100" s="56">
        <v>3200</v>
      </c>
      <c r="N100" s="107">
        <f>O100/M100</f>
        <v>15.284375</v>
      </c>
      <c r="O100" s="32">
        <f>K100</f>
        <v>48910</v>
      </c>
      <c r="P100" s="89" t="s">
        <v>213</v>
      </c>
      <c r="Q100" s="56">
        <v>3200</v>
      </c>
      <c r="R100" s="107">
        <f>S100/Q100</f>
        <v>15.284375</v>
      </c>
      <c r="S100" s="88">
        <f>O100</f>
        <v>48910</v>
      </c>
      <c r="T100" s="89" t="s">
        <v>213</v>
      </c>
      <c r="U100" s="56">
        <v>3200</v>
      </c>
      <c r="V100" s="107">
        <f>W100/U100</f>
        <v>15.284375</v>
      </c>
      <c r="W100" s="88">
        <f>S100</f>
        <v>48910</v>
      </c>
      <c r="X100" s="229" t="s">
        <v>213</v>
      </c>
      <c r="Y100" s="230">
        <v>3200</v>
      </c>
      <c r="Z100" s="242">
        <v>15.284375</v>
      </c>
      <c r="AA100" s="190">
        <v>48910</v>
      </c>
      <c r="AB100" s="229" t="s">
        <v>213</v>
      </c>
      <c r="AC100" s="230">
        <v>3200</v>
      </c>
      <c r="AD100" s="242">
        <v>15.284375</v>
      </c>
      <c r="AE100" s="190">
        <v>48910</v>
      </c>
    </row>
    <row r="101" spans="1:31" ht="11.25">
      <c r="A101" s="102" t="s">
        <v>137</v>
      </c>
      <c r="D101" s="15" t="s">
        <v>12</v>
      </c>
      <c r="H101" s="478"/>
      <c r="I101" s="87"/>
      <c r="J101" s="87"/>
      <c r="K101" s="480"/>
      <c r="L101" s="159"/>
      <c r="M101" s="56"/>
      <c r="N101" s="87"/>
      <c r="O101" s="32"/>
      <c r="P101" s="89"/>
      <c r="Q101" s="56"/>
      <c r="R101" s="87"/>
      <c r="S101" s="88"/>
      <c r="T101" s="89"/>
      <c r="U101" s="56"/>
      <c r="V101" s="87"/>
      <c r="W101" s="88"/>
      <c r="X101" s="229"/>
      <c r="Y101" s="322"/>
      <c r="Z101" s="189"/>
      <c r="AA101" s="190"/>
      <c r="AB101" s="229"/>
      <c r="AC101" s="322"/>
      <c r="AD101" s="189"/>
      <c r="AE101" s="190"/>
    </row>
    <row r="102" spans="1:31" ht="11.25">
      <c r="A102" s="102" t="s">
        <v>138</v>
      </c>
      <c r="D102" s="15" t="s">
        <v>13</v>
      </c>
      <c r="H102" s="478"/>
      <c r="I102" s="87"/>
      <c r="J102" s="87"/>
      <c r="K102" s="480"/>
      <c r="L102" s="159"/>
      <c r="M102" s="56"/>
      <c r="N102" s="87"/>
      <c r="O102" s="32"/>
      <c r="P102" s="89"/>
      <c r="Q102" s="56"/>
      <c r="R102" s="87"/>
      <c r="S102" s="88"/>
      <c r="T102" s="89"/>
      <c r="U102" s="56"/>
      <c r="V102" s="87"/>
      <c r="W102" s="88"/>
      <c r="X102" s="229"/>
      <c r="Y102" s="230"/>
      <c r="Z102" s="189"/>
      <c r="AA102" s="190"/>
      <c r="AB102" s="229"/>
      <c r="AC102" s="230"/>
      <c r="AD102" s="189"/>
      <c r="AE102" s="190"/>
    </row>
    <row r="103" spans="1:31" ht="11.25">
      <c r="A103" s="102" t="s">
        <v>139</v>
      </c>
      <c r="D103" s="15" t="s">
        <v>14</v>
      </c>
      <c r="H103" s="478">
        <f>433+180+2598+1202</f>
        <v>4413</v>
      </c>
      <c r="I103" s="87">
        <f>544+244+3263+1627</f>
        <v>5678</v>
      </c>
      <c r="J103" s="87">
        <v>0</v>
      </c>
      <c r="K103" s="480">
        <f>H103+I103+J103</f>
        <v>10091</v>
      </c>
      <c r="L103" s="159" t="s">
        <v>213</v>
      </c>
      <c r="M103" s="56">
        <v>535</v>
      </c>
      <c r="N103" s="107">
        <f>O103/M103</f>
        <v>18.861682242990653</v>
      </c>
      <c r="O103" s="32">
        <f>K103</f>
        <v>10091</v>
      </c>
      <c r="P103" s="89" t="s">
        <v>213</v>
      </c>
      <c r="Q103" s="56">
        <v>535</v>
      </c>
      <c r="R103" s="107">
        <f>S103/Q103</f>
        <v>18.861682242990653</v>
      </c>
      <c r="S103" s="88">
        <f>O103</f>
        <v>10091</v>
      </c>
      <c r="T103" s="89" t="s">
        <v>213</v>
      </c>
      <c r="U103" s="56">
        <f>Q103*2</f>
        <v>1070</v>
      </c>
      <c r="V103" s="107">
        <f>R103*2</f>
        <v>37.72336448598131</v>
      </c>
      <c r="W103" s="88">
        <f>U103*V103</f>
        <v>40364</v>
      </c>
      <c r="X103" s="229" t="s">
        <v>213</v>
      </c>
      <c r="Y103" s="230">
        <v>1070</v>
      </c>
      <c r="Z103" s="242">
        <v>37.72336448598131</v>
      </c>
      <c r="AA103" s="190">
        <v>40364</v>
      </c>
      <c r="AB103" s="229" t="s">
        <v>213</v>
      </c>
      <c r="AC103" s="230">
        <v>1070</v>
      </c>
      <c r="AD103" s="242">
        <v>37.72336448598131</v>
      </c>
      <c r="AE103" s="190">
        <v>40364</v>
      </c>
    </row>
    <row r="104" spans="1:31" ht="11.25">
      <c r="A104" s="102"/>
      <c r="C104" s="15" t="s">
        <v>15</v>
      </c>
      <c r="H104" s="478"/>
      <c r="I104" s="87"/>
      <c r="J104" s="87"/>
      <c r="K104" s="480"/>
      <c r="L104" s="159"/>
      <c r="M104" s="56"/>
      <c r="N104" s="87"/>
      <c r="O104" s="32"/>
      <c r="P104" s="89"/>
      <c r="Q104" s="56"/>
      <c r="R104" s="86"/>
      <c r="S104" s="33"/>
      <c r="T104" s="191"/>
      <c r="U104" s="230"/>
      <c r="V104" s="192"/>
      <c r="W104" s="36"/>
      <c r="X104" s="229"/>
      <c r="Y104" s="230"/>
      <c r="Z104" s="192"/>
      <c r="AA104" s="36"/>
      <c r="AB104" s="229"/>
      <c r="AC104" s="230"/>
      <c r="AD104" s="192"/>
      <c r="AE104" s="36"/>
    </row>
    <row r="105" spans="1:31" ht="11.25">
      <c r="A105" s="102" t="s">
        <v>140</v>
      </c>
      <c r="D105" s="15" t="s">
        <v>11</v>
      </c>
      <c r="H105" s="478"/>
      <c r="I105" s="87"/>
      <c r="J105" s="87"/>
      <c r="K105" s="480"/>
      <c r="L105" s="159"/>
      <c r="M105" s="56"/>
      <c r="N105" s="87"/>
      <c r="O105" s="32"/>
      <c r="P105" s="89"/>
      <c r="Q105" s="56"/>
      <c r="R105" s="86"/>
      <c r="S105" s="33"/>
      <c r="T105" s="191"/>
      <c r="U105" s="230"/>
      <c r="V105" s="192"/>
      <c r="W105" s="36"/>
      <c r="X105" s="229"/>
      <c r="Y105" s="230"/>
      <c r="Z105" s="192"/>
      <c r="AA105" s="36"/>
      <c r="AB105" s="229"/>
      <c r="AC105" s="230"/>
      <c r="AD105" s="192"/>
      <c r="AE105" s="36"/>
    </row>
    <row r="106" spans="1:31" ht="11.25">
      <c r="A106" s="102" t="s">
        <v>141</v>
      </c>
      <c r="D106" s="15" t="s">
        <v>12</v>
      </c>
      <c r="H106" s="478"/>
      <c r="I106" s="87"/>
      <c r="J106" s="87"/>
      <c r="K106" s="480"/>
      <c r="L106" s="159"/>
      <c r="M106" s="56"/>
      <c r="N106" s="87"/>
      <c r="O106" s="32"/>
      <c r="P106" s="89"/>
      <c r="Q106" s="56"/>
      <c r="R106" s="96"/>
      <c r="S106" s="33"/>
      <c r="T106" s="191"/>
      <c r="U106" s="230"/>
      <c r="V106" s="100"/>
      <c r="W106" s="36"/>
      <c r="X106" s="229"/>
      <c r="Y106" s="230"/>
      <c r="Z106" s="100"/>
      <c r="AA106" s="36"/>
      <c r="AB106" s="229"/>
      <c r="AC106" s="230"/>
      <c r="AD106" s="100"/>
      <c r="AE106" s="36"/>
    </row>
    <row r="107" spans="1:31" ht="11.25">
      <c r="A107" s="102" t="s">
        <v>142</v>
      </c>
      <c r="D107" s="15" t="s">
        <v>13</v>
      </c>
      <c r="H107" s="478"/>
      <c r="I107" s="87"/>
      <c r="J107" s="87"/>
      <c r="K107" s="480"/>
      <c r="L107" s="159"/>
      <c r="M107" s="56"/>
      <c r="N107" s="87"/>
      <c r="O107" s="32"/>
      <c r="P107" s="89"/>
      <c r="Q107" s="56"/>
      <c r="R107" s="86"/>
      <c r="S107" s="33"/>
      <c r="T107" s="191"/>
      <c r="U107" s="230"/>
      <c r="V107" s="192"/>
      <c r="W107" s="36"/>
      <c r="X107" s="229"/>
      <c r="Y107" s="230"/>
      <c r="Z107" s="192"/>
      <c r="AA107" s="36"/>
      <c r="AB107" s="229"/>
      <c r="AC107" s="230"/>
      <c r="AD107" s="192"/>
      <c r="AE107" s="36"/>
    </row>
    <row r="108" spans="1:31" ht="11.25">
      <c r="A108" s="102" t="s">
        <v>143</v>
      </c>
      <c r="D108" s="15" t="s">
        <v>14</v>
      </c>
      <c r="H108" s="478"/>
      <c r="I108" s="87"/>
      <c r="J108" s="87"/>
      <c r="K108" s="480"/>
      <c r="L108" s="159"/>
      <c r="M108" s="56"/>
      <c r="N108" s="87"/>
      <c r="O108" s="32"/>
      <c r="P108" s="89"/>
      <c r="Q108" s="56"/>
      <c r="R108" s="86"/>
      <c r="S108" s="33"/>
      <c r="T108" s="191"/>
      <c r="U108" s="230"/>
      <c r="V108" s="192"/>
      <c r="W108" s="36"/>
      <c r="X108" s="229"/>
      <c r="Y108" s="230"/>
      <c r="Z108" s="192"/>
      <c r="AA108" s="36"/>
      <c r="AB108" s="229"/>
      <c r="AC108" s="230"/>
      <c r="AD108" s="192"/>
      <c r="AE108" s="36"/>
    </row>
    <row r="109" spans="1:31" ht="11.25">
      <c r="A109" s="102"/>
      <c r="C109" s="15" t="s">
        <v>16</v>
      </c>
      <c r="H109" s="478">
        <f>SUM(H99:H108)</f>
        <v>29246</v>
      </c>
      <c r="I109" s="87">
        <f>SUM(I99:I108)</f>
        <v>29530</v>
      </c>
      <c r="J109" s="87">
        <f>SUM(J99:J108)</f>
        <v>225</v>
      </c>
      <c r="K109" s="480">
        <f>H109+I109+J109</f>
        <v>59001</v>
      </c>
      <c r="L109" s="159" t="s">
        <v>213</v>
      </c>
      <c r="M109" s="56">
        <f>M100</f>
        <v>3200</v>
      </c>
      <c r="N109" s="107">
        <f>O109/M109</f>
        <v>18.4378125</v>
      </c>
      <c r="O109" s="32">
        <f>SUM(O99:O108)</f>
        <v>59001</v>
      </c>
      <c r="P109" s="89" t="s">
        <v>213</v>
      </c>
      <c r="Q109" s="56">
        <f>Q100</f>
        <v>3200</v>
      </c>
      <c r="R109" s="107">
        <f>S109/Q109</f>
        <v>18.4378125</v>
      </c>
      <c r="S109" s="88">
        <f>SUM(S99:S108)</f>
        <v>59001</v>
      </c>
      <c r="T109" s="191" t="s">
        <v>213</v>
      </c>
      <c r="U109" s="230">
        <f>U100</f>
        <v>3200</v>
      </c>
      <c r="V109" s="242">
        <f>W109/U109</f>
        <v>27.898125</v>
      </c>
      <c r="W109" s="190">
        <f>SUM(W99:W108)</f>
        <v>89274</v>
      </c>
      <c r="X109" s="229" t="s">
        <v>213</v>
      </c>
      <c r="Y109" s="230">
        <f>Y100</f>
        <v>3200</v>
      </c>
      <c r="Z109" s="242">
        <f>AA109/Y109</f>
        <v>27.898125</v>
      </c>
      <c r="AA109" s="190">
        <f>SUM(AA99:AA108)</f>
        <v>89274</v>
      </c>
      <c r="AB109" s="229" t="s">
        <v>213</v>
      </c>
      <c r="AC109" s="230">
        <f>AC100</f>
        <v>3200</v>
      </c>
      <c r="AD109" s="242">
        <f>AE109/AC109</f>
        <v>27.898125</v>
      </c>
      <c r="AE109" s="190">
        <f>SUM(AE99:AE108)</f>
        <v>89274</v>
      </c>
    </row>
    <row r="110" spans="1:31" ht="11.25">
      <c r="A110" s="102"/>
      <c r="C110" s="15" t="s">
        <v>10</v>
      </c>
      <c r="H110" s="478"/>
      <c r="I110" s="87"/>
      <c r="J110" s="87"/>
      <c r="K110" s="480"/>
      <c r="L110" s="159"/>
      <c r="M110" s="56"/>
      <c r="N110" s="87"/>
      <c r="O110" s="32"/>
      <c r="P110" s="89"/>
      <c r="Q110" s="56"/>
      <c r="R110" s="86"/>
      <c r="S110" s="33"/>
      <c r="T110" s="191"/>
      <c r="U110" s="230"/>
      <c r="V110" s="192"/>
      <c r="W110" s="36"/>
      <c r="X110" s="229"/>
      <c r="Y110" s="230"/>
      <c r="Z110" s="192"/>
      <c r="AA110" s="36"/>
      <c r="AB110" s="229"/>
      <c r="AC110" s="230"/>
      <c r="AD110" s="192"/>
      <c r="AE110" s="36"/>
    </row>
    <row r="111" spans="1:31" ht="11.25">
      <c r="A111" s="102" t="s">
        <v>144</v>
      </c>
      <c r="D111" s="15" t="s">
        <v>17</v>
      </c>
      <c r="H111" s="478"/>
      <c r="I111" s="87"/>
      <c r="J111" s="87"/>
      <c r="K111" s="480"/>
      <c r="L111" s="159"/>
      <c r="M111" s="56"/>
      <c r="N111" s="87"/>
      <c r="O111" s="32"/>
      <c r="P111" s="89"/>
      <c r="Q111" s="56"/>
      <c r="R111" s="96"/>
      <c r="S111" s="33"/>
      <c r="T111" s="191"/>
      <c r="U111" s="230"/>
      <c r="V111" s="100"/>
      <c r="W111" s="36"/>
      <c r="X111" s="229"/>
      <c r="Y111" s="230"/>
      <c r="Z111" s="100"/>
      <c r="AA111" s="36"/>
      <c r="AB111" s="229"/>
      <c r="AC111" s="230"/>
      <c r="AD111" s="100"/>
      <c r="AE111" s="36"/>
    </row>
    <row r="112" spans="1:31" ht="11.25">
      <c r="A112" s="102" t="s">
        <v>190</v>
      </c>
      <c r="D112" s="15" t="s">
        <v>18</v>
      </c>
      <c r="H112" s="478">
        <f>216+1353</f>
        <v>1569</v>
      </c>
      <c r="I112" s="87">
        <f>173+1082</f>
        <v>1255</v>
      </c>
      <c r="J112" s="87">
        <f>96+630</f>
        <v>726</v>
      </c>
      <c r="K112" s="480">
        <f>H112+I112+J112</f>
        <v>3550</v>
      </c>
      <c r="L112" s="159" t="s">
        <v>214</v>
      </c>
      <c r="M112" s="56">
        <v>3200</v>
      </c>
      <c r="N112" s="107">
        <f>O112/M112</f>
        <v>1.109375</v>
      </c>
      <c r="O112" s="32">
        <f>K112</f>
        <v>3550</v>
      </c>
      <c r="P112" s="89" t="s">
        <v>214</v>
      </c>
      <c r="Q112" s="56">
        <v>3200</v>
      </c>
      <c r="R112" s="107">
        <f>S112/Q112</f>
        <v>1.109375</v>
      </c>
      <c r="S112" s="88">
        <f>O112</f>
        <v>3550</v>
      </c>
      <c r="T112" s="89" t="s">
        <v>214</v>
      </c>
      <c r="U112" s="56">
        <v>3200</v>
      </c>
      <c r="V112" s="107">
        <v>0.31</v>
      </c>
      <c r="W112" s="88">
        <f>U112*V112</f>
        <v>992</v>
      </c>
      <c r="X112" s="229" t="s">
        <v>214</v>
      </c>
      <c r="Y112" s="230">
        <v>3200</v>
      </c>
      <c r="Z112" s="242">
        <v>0.31</v>
      </c>
      <c r="AA112" s="190">
        <v>992</v>
      </c>
      <c r="AB112" s="229" t="s">
        <v>214</v>
      </c>
      <c r="AC112" s="230">
        <v>3200</v>
      </c>
      <c r="AD112" s="242">
        <v>0.31</v>
      </c>
      <c r="AE112" s="190">
        <v>992</v>
      </c>
    </row>
    <row r="113" spans="1:31" ht="11.25">
      <c r="A113" s="102"/>
      <c r="C113" s="15" t="s">
        <v>15</v>
      </c>
      <c r="H113" s="478"/>
      <c r="I113" s="87"/>
      <c r="J113" s="87"/>
      <c r="K113" s="480"/>
      <c r="L113" s="159"/>
      <c r="M113" s="56"/>
      <c r="N113" s="87"/>
      <c r="O113" s="32"/>
      <c r="P113" s="89"/>
      <c r="Q113" s="56"/>
      <c r="R113" s="96"/>
      <c r="S113" s="33"/>
      <c r="T113" s="191"/>
      <c r="U113" s="230"/>
      <c r="V113" s="100"/>
      <c r="W113" s="36"/>
      <c r="X113" s="229"/>
      <c r="Y113" s="230"/>
      <c r="Z113" s="100"/>
      <c r="AA113" s="36"/>
      <c r="AB113" s="229"/>
      <c r="AC113" s="230"/>
      <c r="AD113" s="100"/>
      <c r="AE113" s="36"/>
    </row>
    <row r="114" spans="1:31" ht="11.25">
      <c r="A114" s="102" t="s">
        <v>401</v>
      </c>
      <c r="D114" s="15" t="s">
        <v>17</v>
      </c>
      <c r="H114" s="478"/>
      <c r="I114" s="87"/>
      <c r="J114" s="87"/>
      <c r="K114" s="480"/>
      <c r="L114" s="159"/>
      <c r="M114" s="56"/>
      <c r="N114" s="87"/>
      <c r="O114" s="32"/>
      <c r="P114" s="89"/>
      <c r="Q114" s="56"/>
      <c r="R114" s="96"/>
      <c r="S114" s="33"/>
      <c r="T114" s="191"/>
      <c r="U114" s="230"/>
      <c r="V114" s="100"/>
      <c r="W114" s="36"/>
      <c r="X114" s="229"/>
      <c r="Y114" s="230"/>
      <c r="Z114" s="100"/>
      <c r="AA114" s="36"/>
      <c r="AB114" s="229"/>
      <c r="AC114" s="230"/>
      <c r="AD114" s="100"/>
      <c r="AE114" s="36"/>
    </row>
    <row r="115" spans="1:31" ht="11.25">
      <c r="A115" s="102" t="s">
        <v>402</v>
      </c>
      <c r="D115" s="15" t="s">
        <v>19</v>
      </c>
      <c r="H115" s="478"/>
      <c r="I115" s="87"/>
      <c r="J115" s="87"/>
      <c r="K115" s="480"/>
      <c r="L115" s="159"/>
      <c r="M115" s="56"/>
      <c r="N115" s="107"/>
      <c r="O115" s="32"/>
      <c r="P115" s="89"/>
      <c r="Q115" s="56"/>
      <c r="R115" s="96"/>
      <c r="S115" s="33"/>
      <c r="T115" s="191"/>
      <c r="U115" s="230"/>
      <c r="V115" s="100"/>
      <c r="W115" s="36"/>
      <c r="X115" s="229"/>
      <c r="Y115" s="230"/>
      <c r="Z115" s="100"/>
      <c r="AA115" s="36"/>
      <c r="AB115" s="229"/>
      <c r="AC115" s="230"/>
      <c r="AD115" s="100"/>
      <c r="AE115" s="36"/>
    </row>
    <row r="116" spans="1:31" ht="11.25">
      <c r="A116" s="102"/>
      <c r="C116" s="15" t="s">
        <v>20</v>
      </c>
      <c r="H116" s="478">
        <f>SUM(H110:H115)</f>
        <v>1569</v>
      </c>
      <c r="I116" s="87">
        <f>SUM(I110:I115)</f>
        <v>1255</v>
      </c>
      <c r="J116" s="87">
        <f>SUM(J110:J115)</f>
        <v>726</v>
      </c>
      <c r="K116" s="480">
        <f>H116+I116+J116</f>
        <v>3550</v>
      </c>
      <c r="L116" s="159" t="s">
        <v>214</v>
      </c>
      <c r="M116" s="56">
        <f>M112</f>
        <v>3200</v>
      </c>
      <c r="N116" s="107">
        <f>O116/M116</f>
        <v>1.109375</v>
      </c>
      <c r="O116" s="32">
        <f>SUM(O110:O115)</f>
        <v>3550</v>
      </c>
      <c r="P116" s="89" t="s">
        <v>214</v>
      </c>
      <c r="Q116" s="56">
        <f>Q112</f>
        <v>3200</v>
      </c>
      <c r="R116" s="107">
        <f>S116/Q116</f>
        <v>1.109375</v>
      </c>
      <c r="S116" s="88">
        <f>SUM(S110:S115)</f>
        <v>3550</v>
      </c>
      <c r="T116" s="191" t="s">
        <v>214</v>
      </c>
      <c r="U116" s="230">
        <f>U112</f>
        <v>3200</v>
      </c>
      <c r="V116" s="242">
        <f>W116/U116</f>
        <v>0.31</v>
      </c>
      <c r="W116" s="190">
        <f>SUM(W110:W115)</f>
        <v>992</v>
      </c>
      <c r="X116" s="229" t="s">
        <v>214</v>
      </c>
      <c r="Y116" s="230">
        <f>Y112</f>
        <v>3200</v>
      </c>
      <c r="Z116" s="242">
        <f>AA116/Y116</f>
        <v>0.31</v>
      </c>
      <c r="AA116" s="190">
        <f>SUM(AA110:AA115)</f>
        <v>992</v>
      </c>
      <c r="AB116" s="229" t="s">
        <v>214</v>
      </c>
      <c r="AC116" s="230">
        <f>AC112</f>
        <v>3200</v>
      </c>
      <c r="AD116" s="242">
        <f>AE116/AC116</f>
        <v>0.31</v>
      </c>
      <c r="AE116" s="190">
        <f>SUM(AE110:AE115)</f>
        <v>992</v>
      </c>
    </row>
    <row r="117" spans="1:31" ht="11.25">
      <c r="A117" s="102"/>
      <c r="B117" s="15" t="s">
        <v>302</v>
      </c>
      <c r="H117" s="478">
        <f>H96+H97+H98+H109+H116</f>
        <v>137487</v>
      </c>
      <c r="I117" s="87">
        <f>I96+I97+I98+I109+I116</f>
        <v>81112</v>
      </c>
      <c r="J117" s="87">
        <f>J96+J97+J98+J109+J116</f>
        <v>61301</v>
      </c>
      <c r="K117" s="480">
        <f>K96+K97+K98+K109+K116</f>
        <v>279900</v>
      </c>
      <c r="L117" s="159" t="s">
        <v>214</v>
      </c>
      <c r="M117" s="56">
        <f>M112</f>
        <v>3200</v>
      </c>
      <c r="N117" s="87">
        <f>O117/M117</f>
        <v>87.46875</v>
      </c>
      <c r="O117" s="32">
        <f>O96+O97+O98+O109+O116</f>
        <v>279900</v>
      </c>
      <c r="P117" s="89" t="s">
        <v>214</v>
      </c>
      <c r="Q117" s="56">
        <f>Q112</f>
        <v>3200</v>
      </c>
      <c r="R117" s="87">
        <f>S117/Q117</f>
        <v>87.46875</v>
      </c>
      <c r="S117" s="88">
        <f>S96+S97+S98+S109+S116</f>
        <v>279900</v>
      </c>
      <c r="T117" s="191" t="s">
        <v>214</v>
      </c>
      <c r="U117" s="230">
        <f>U112</f>
        <v>3200</v>
      </c>
      <c r="V117" s="189">
        <f>W117/U117</f>
        <v>96.1296875</v>
      </c>
      <c r="W117" s="190">
        <f>W96+W97+W98+W109+W116</f>
        <v>307615</v>
      </c>
      <c r="X117" s="229" t="s">
        <v>214</v>
      </c>
      <c r="Y117" s="230">
        <f>Y112</f>
        <v>3200</v>
      </c>
      <c r="Z117" s="189">
        <f>AA117/Y117</f>
        <v>96.1296875</v>
      </c>
      <c r="AA117" s="190">
        <f>AA96+AA97+AA98+AA109+AA116</f>
        <v>307615</v>
      </c>
      <c r="AB117" s="229" t="s">
        <v>214</v>
      </c>
      <c r="AC117" s="230">
        <f>AC112</f>
        <v>3200</v>
      </c>
      <c r="AD117" s="189">
        <f>AE117/AC117</f>
        <v>96.1296875</v>
      </c>
      <c r="AE117" s="190">
        <f>AE96+AE97+AE98+AE109+AE116</f>
        <v>307615</v>
      </c>
    </row>
    <row r="118" spans="1:31" ht="11.25">
      <c r="A118" s="366"/>
      <c r="B118" s="98"/>
      <c r="C118" s="51"/>
      <c r="D118" s="51"/>
      <c r="E118" s="51"/>
      <c r="F118" s="51"/>
      <c r="G118" s="51"/>
      <c r="H118" s="478"/>
      <c r="I118" s="87"/>
      <c r="J118" s="87"/>
      <c r="K118" s="480"/>
      <c r="L118" s="159"/>
      <c r="M118" s="56"/>
      <c r="N118" s="87"/>
      <c r="O118" s="32"/>
      <c r="P118" s="124"/>
      <c r="Q118" s="230"/>
      <c r="R118" s="189"/>
      <c r="S118" s="190"/>
      <c r="T118" s="191"/>
      <c r="U118" s="230"/>
      <c r="V118" s="189"/>
      <c r="W118" s="190"/>
      <c r="X118" s="229"/>
      <c r="Y118" s="230"/>
      <c r="Z118" s="189"/>
      <c r="AA118" s="190"/>
      <c r="AB118" s="229"/>
      <c r="AC118" s="230"/>
      <c r="AD118" s="189"/>
      <c r="AE118" s="190"/>
    </row>
    <row r="119" spans="1:31" ht="11.25">
      <c r="A119" s="366" t="s">
        <v>145</v>
      </c>
      <c r="B119" s="98" t="s">
        <v>316</v>
      </c>
      <c r="C119" s="98"/>
      <c r="H119" s="478"/>
      <c r="I119" s="87"/>
      <c r="J119" s="87"/>
      <c r="K119" s="480"/>
      <c r="L119" s="159"/>
      <c r="M119" s="56"/>
      <c r="N119" s="87"/>
      <c r="O119" s="32"/>
      <c r="P119" s="89"/>
      <c r="Q119" s="84"/>
      <c r="R119" s="87"/>
      <c r="S119" s="33"/>
      <c r="T119" s="191"/>
      <c r="U119" s="113"/>
      <c r="V119" s="189"/>
      <c r="W119" s="36"/>
      <c r="X119" s="229"/>
      <c r="Y119" s="113"/>
      <c r="Z119" s="189"/>
      <c r="AA119" s="36"/>
      <c r="AB119" s="229"/>
      <c r="AC119" s="113"/>
      <c r="AD119" s="189"/>
      <c r="AE119" s="36"/>
    </row>
    <row r="120" spans="1:31" ht="11.25">
      <c r="A120" s="366"/>
      <c r="C120" s="15" t="s">
        <v>31</v>
      </c>
      <c r="H120" s="481"/>
      <c r="I120" s="84"/>
      <c r="J120" s="84"/>
      <c r="K120" s="482"/>
      <c r="L120" s="159"/>
      <c r="M120" s="56"/>
      <c r="N120" s="87"/>
      <c r="O120" s="32"/>
      <c r="P120" s="89"/>
      <c r="Q120" s="84"/>
      <c r="R120" s="87"/>
      <c r="S120" s="33"/>
      <c r="T120" s="191"/>
      <c r="U120" s="113"/>
      <c r="V120" s="189"/>
      <c r="W120" s="36"/>
      <c r="X120" s="229"/>
      <c r="Y120" s="113"/>
      <c r="Z120" s="189"/>
      <c r="AA120" s="36"/>
      <c r="AB120" s="229"/>
      <c r="AC120" s="113"/>
      <c r="AD120" s="189"/>
      <c r="AE120" s="36"/>
    </row>
    <row r="121" spans="1:31" ht="11.25">
      <c r="A121" s="366" t="s">
        <v>146</v>
      </c>
      <c r="D121" s="15" t="s">
        <v>177</v>
      </c>
      <c r="H121" s="478"/>
      <c r="I121" s="87"/>
      <c r="J121" s="87"/>
      <c r="K121" s="480"/>
      <c r="L121" s="159"/>
      <c r="M121" s="56"/>
      <c r="N121" s="87"/>
      <c r="O121" s="32"/>
      <c r="P121" s="89"/>
      <c r="Q121" s="84"/>
      <c r="R121" s="107"/>
      <c r="S121" s="33"/>
      <c r="T121" s="191"/>
      <c r="U121" s="113"/>
      <c r="V121" s="242"/>
      <c r="W121" s="36"/>
      <c r="X121" s="229"/>
      <c r="Y121" s="113"/>
      <c r="Z121" s="242"/>
      <c r="AA121" s="36"/>
      <c r="AB121" s="229"/>
      <c r="AC121" s="113"/>
      <c r="AD121" s="242"/>
      <c r="AE121" s="36"/>
    </row>
    <row r="122" spans="1:31" ht="11.25">
      <c r="A122" s="85" t="s">
        <v>147</v>
      </c>
      <c r="D122" s="15" t="s">
        <v>178</v>
      </c>
      <c r="H122" s="478"/>
      <c r="I122" s="87"/>
      <c r="J122" s="87"/>
      <c r="K122" s="480"/>
      <c r="L122" s="159"/>
      <c r="M122" s="56"/>
      <c r="N122" s="87"/>
      <c r="O122" s="32"/>
      <c r="P122" s="89"/>
      <c r="Q122" s="84"/>
      <c r="R122" s="107"/>
      <c r="S122" s="33"/>
      <c r="T122" s="191"/>
      <c r="U122" s="113"/>
      <c r="V122" s="242"/>
      <c r="W122" s="36"/>
      <c r="X122" s="229"/>
      <c r="Y122" s="113"/>
      <c r="Z122" s="242"/>
      <c r="AA122" s="36"/>
      <c r="AB122" s="229"/>
      <c r="AC122" s="113"/>
      <c r="AD122" s="242"/>
      <c r="AE122" s="36"/>
    </row>
    <row r="123" spans="1:31" ht="11.25">
      <c r="A123" s="85" t="s">
        <v>148</v>
      </c>
      <c r="C123" s="15" t="s">
        <v>300</v>
      </c>
      <c r="H123" s="478">
        <v>61706</v>
      </c>
      <c r="I123" s="87">
        <v>28904</v>
      </c>
      <c r="J123" s="87">
        <v>60350</v>
      </c>
      <c r="K123" s="480">
        <f>H123+I123+J123</f>
        <v>150960</v>
      </c>
      <c r="L123" s="159" t="s">
        <v>213</v>
      </c>
      <c r="M123" s="56">
        <v>355</v>
      </c>
      <c r="N123" s="87">
        <f>O123/M123</f>
        <v>425.23943661971833</v>
      </c>
      <c r="O123" s="32">
        <f>K123</f>
        <v>150960</v>
      </c>
      <c r="P123" s="89" t="s">
        <v>213</v>
      </c>
      <c r="Q123" s="56">
        <v>355</v>
      </c>
      <c r="R123" s="87">
        <f>S123/Q123</f>
        <v>425.23943661971833</v>
      </c>
      <c r="S123" s="88">
        <f>O123</f>
        <v>150960</v>
      </c>
      <c r="T123" s="89" t="s">
        <v>213</v>
      </c>
      <c r="U123" s="56">
        <v>355</v>
      </c>
      <c r="V123" s="87">
        <f>W123/U123</f>
        <v>425.23943661971833</v>
      </c>
      <c r="W123" s="88">
        <f>S123</f>
        <v>150960</v>
      </c>
      <c r="X123" s="229" t="s">
        <v>213</v>
      </c>
      <c r="Y123" s="230">
        <v>355</v>
      </c>
      <c r="Z123" s="189">
        <v>425.23943661971833</v>
      </c>
      <c r="AA123" s="190">
        <v>150960</v>
      </c>
      <c r="AB123" s="229" t="s">
        <v>213</v>
      </c>
      <c r="AC123" s="230">
        <v>355</v>
      </c>
      <c r="AD123" s="189">
        <v>425.23943661971833</v>
      </c>
      <c r="AE123" s="190">
        <v>150960</v>
      </c>
    </row>
    <row r="124" spans="1:31" ht="11.25">
      <c r="A124" s="85"/>
      <c r="C124" s="15" t="s">
        <v>10</v>
      </c>
      <c r="H124" s="478"/>
      <c r="I124" s="87"/>
      <c r="J124" s="87"/>
      <c r="K124" s="480"/>
      <c r="L124" s="159"/>
      <c r="M124" s="56"/>
      <c r="N124" s="87"/>
      <c r="O124" s="32"/>
      <c r="P124" s="89"/>
      <c r="Q124" s="56"/>
      <c r="R124" s="87"/>
      <c r="S124" s="88"/>
      <c r="T124" s="89"/>
      <c r="U124" s="56"/>
      <c r="V124" s="87"/>
      <c r="W124" s="88"/>
      <c r="X124" s="229"/>
      <c r="Y124" s="230"/>
      <c r="Z124" s="189"/>
      <c r="AA124" s="190"/>
      <c r="AB124" s="229"/>
      <c r="AC124" s="230"/>
      <c r="AD124" s="189"/>
      <c r="AE124" s="190"/>
    </row>
    <row r="125" spans="1:31" ht="11.25">
      <c r="A125" s="85" t="s">
        <v>149</v>
      </c>
      <c r="D125" s="15" t="s">
        <v>11</v>
      </c>
      <c r="H125" s="478">
        <f>661+541+520+157+3005+2885+9417+4551+2778+13163</f>
        <v>37678</v>
      </c>
      <c r="I125" s="87">
        <f>1269+927+5768+4944+15234+10654</f>
        <v>38796</v>
      </c>
      <c r="J125" s="87">
        <v>225</v>
      </c>
      <c r="K125" s="480">
        <f>H125+I125+J125</f>
        <v>76699</v>
      </c>
      <c r="L125" s="159" t="s">
        <v>213</v>
      </c>
      <c r="M125" s="56">
        <f>3800+18000</f>
        <v>21800</v>
      </c>
      <c r="N125" s="107">
        <f>O125/M125</f>
        <v>3.518302752293578</v>
      </c>
      <c r="O125" s="32">
        <f>K125</f>
        <v>76699</v>
      </c>
      <c r="P125" s="89" t="s">
        <v>213</v>
      </c>
      <c r="Q125" s="56">
        <f>3800+18000</f>
        <v>21800</v>
      </c>
      <c r="R125" s="107">
        <f>S125/Q125</f>
        <v>3.518302752293578</v>
      </c>
      <c r="S125" s="88">
        <f>O125</f>
        <v>76699</v>
      </c>
      <c r="T125" s="89" t="s">
        <v>213</v>
      </c>
      <c r="U125" s="56">
        <f>3800+18000</f>
        <v>21800</v>
      </c>
      <c r="V125" s="107">
        <f>W125/U125</f>
        <v>3.518302752293578</v>
      </c>
      <c r="W125" s="88">
        <f>S125</f>
        <v>76699</v>
      </c>
      <c r="X125" s="229" t="s">
        <v>213</v>
      </c>
      <c r="Y125" s="230">
        <v>21800</v>
      </c>
      <c r="Z125" s="242">
        <v>3.518302752293578</v>
      </c>
      <c r="AA125" s="190">
        <v>76699</v>
      </c>
      <c r="AB125" s="229" t="s">
        <v>213</v>
      </c>
      <c r="AC125" s="230">
        <v>21800</v>
      </c>
      <c r="AD125" s="242">
        <v>3.518302752293578</v>
      </c>
      <c r="AE125" s="190">
        <v>76699</v>
      </c>
    </row>
    <row r="126" spans="1:31" ht="11.25">
      <c r="A126" s="85" t="s">
        <v>150</v>
      </c>
      <c r="D126" s="15" t="s">
        <v>12</v>
      </c>
      <c r="H126" s="478"/>
      <c r="I126" s="87"/>
      <c r="J126" s="87"/>
      <c r="K126" s="480"/>
      <c r="L126" s="159"/>
      <c r="M126" s="56"/>
      <c r="N126" s="87"/>
      <c r="O126" s="32"/>
      <c r="P126" s="89"/>
      <c r="Q126" s="56"/>
      <c r="R126" s="87"/>
      <c r="S126" s="88"/>
      <c r="T126" s="89"/>
      <c r="U126" s="56"/>
      <c r="V126" s="87"/>
      <c r="W126" s="88"/>
      <c r="X126" s="229"/>
      <c r="Y126" s="322"/>
      <c r="Z126" s="189"/>
      <c r="AA126" s="190"/>
      <c r="AB126" s="229"/>
      <c r="AC126" s="322"/>
      <c r="AD126" s="189"/>
      <c r="AE126" s="190"/>
    </row>
    <row r="127" spans="1:31" ht="11.25">
      <c r="A127" s="85" t="s">
        <v>151</v>
      </c>
      <c r="D127" s="15" t="s">
        <v>13</v>
      </c>
      <c r="H127" s="478"/>
      <c r="I127" s="87"/>
      <c r="J127" s="87"/>
      <c r="K127" s="480"/>
      <c r="L127" s="159"/>
      <c r="M127" s="56"/>
      <c r="N127" s="87"/>
      <c r="O127" s="32"/>
      <c r="P127" s="89"/>
      <c r="Q127" s="56"/>
      <c r="R127" s="87"/>
      <c r="S127" s="88"/>
      <c r="T127" s="89"/>
      <c r="U127" s="56"/>
      <c r="V127" s="87"/>
      <c r="W127" s="88"/>
      <c r="X127" s="229"/>
      <c r="Y127" s="230"/>
      <c r="Z127" s="189"/>
      <c r="AA127" s="190"/>
      <c r="AB127" s="229"/>
      <c r="AC127" s="230"/>
      <c r="AD127" s="189"/>
      <c r="AE127" s="190"/>
    </row>
    <row r="128" spans="1:31" ht="11.25">
      <c r="A128" s="85" t="s">
        <v>152</v>
      </c>
      <c r="D128" s="15" t="s">
        <v>14</v>
      </c>
      <c r="H128" s="478">
        <f>487+180</f>
        <v>667</v>
      </c>
      <c r="I128" s="87">
        <f>612+244</f>
        <v>856</v>
      </c>
      <c r="J128" s="87">
        <v>0</v>
      </c>
      <c r="K128" s="480">
        <f>H128+I128+J128</f>
        <v>1523</v>
      </c>
      <c r="L128" s="159" t="s">
        <v>213</v>
      </c>
      <c r="M128" s="56">
        <v>630</v>
      </c>
      <c r="N128" s="107">
        <f>O128/M128</f>
        <v>2.4174603174603173</v>
      </c>
      <c r="O128" s="32">
        <f>K128</f>
        <v>1523</v>
      </c>
      <c r="P128" s="89" t="s">
        <v>213</v>
      </c>
      <c r="Q128" s="56">
        <v>630</v>
      </c>
      <c r="R128" s="107">
        <f>S128/Q128</f>
        <v>2.4174603174603173</v>
      </c>
      <c r="S128" s="88">
        <f>O128</f>
        <v>1523</v>
      </c>
      <c r="T128" s="89" t="s">
        <v>213</v>
      </c>
      <c r="U128" s="56">
        <f>Q128*2</f>
        <v>1260</v>
      </c>
      <c r="V128" s="107">
        <f>R128*2</f>
        <v>4.834920634920635</v>
      </c>
      <c r="W128" s="88">
        <f>U128*V128</f>
        <v>6092</v>
      </c>
      <c r="X128" s="229" t="s">
        <v>213</v>
      </c>
      <c r="Y128" s="230">
        <v>1260</v>
      </c>
      <c r="Z128" s="242">
        <v>4.834920634920635</v>
      </c>
      <c r="AA128" s="190">
        <v>6092</v>
      </c>
      <c r="AB128" s="229" t="s">
        <v>213</v>
      </c>
      <c r="AC128" s="230">
        <v>1260</v>
      </c>
      <c r="AD128" s="242">
        <v>4.834920634920635</v>
      </c>
      <c r="AE128" s="190">
        <v>6092</v>
      </c>
    </row>
    <row r="129" spans="1:31" ht="11.25">
      <c r="A129" s="85"/>
      <c r="C129" s="15" t="s">
        <v>15</v>
      </c>
      <c r="H129" s="478"/>
      <c r="I129" s="87"/>
      <c r="J129" s="87"/>
      <c r="K129" s="480"/>
      <c r="L129" s="159"/>
      <c r="M129" s="56"/>
      <c r="N129" s="87"/>
      <c r="O129" s="32"/>
      <c r="P129" s="89"/>
      <c r="Q129" s="56"/>
      <c r="R129" s="87"/>
      <c r="S129" s="88"/>
      <c r="T129" s="191"/>
      <c r="U129" s="230"/>
      <c r="V129" s="192"/>
      <c r="W129" s="36"/>
      <c r="X129" s="229"/>
      <c r="Y129" s="230"/>
      <c r="Z129" s="192"/>
      <c r="AA129" s="36"/>
      <c r="AB129" s="229"/>
      <c r="AC129" s="230"/>
      <c r="AD129" s="192"/>
      <c r="AE129" s="36"/>
    </row>
    <row r="130" spans="1:31" ht="11.25">
      <c r="A130" s="85" t="s">
        <v>153</v>
      </c>
      <c r="D130" s="15" t="s">
        <v>11</v>
      </c>
      <c r="H130" s="478"/>
      <c r="I130" s="87"/>
      <c r="J130" s="87"/>
      <c r="K130" s="480"/>
      <c r="L130" s="159"/>
      <c r="M130" s="56"/>
      <c r="N130" s="87"/>
      <c r="O130" s="32"/>
      <c r="P130" s="89"/>
      <c r="Q130" s="56"/>
      <c r="R130" s="86"/>
      <c r="S130" s="33"/>
      <c r="T130" s="191"/>
      <c r="U130" s="230"/>
      <c r="V130" s="192"/>
      <c r="W130" s="36"/>
      <c r="X130" s="229"/>
      <c r="Y130" s="230"/>
      <c r="Z130" s="192"/>
      <c r="AA130" s="36"/>
      <c r="AB130" s="229"/>
      <c r="AC130" s="230"/>
      <c r="AD130" s="192"/>
      <c r="AE130" s="36"/>
    </row>
    <row r="131" spans="1:31" ht="11.25">
      <c r="A131" s="85" t="s">
        <v>154</v>
      </c>
      <c r="D131" s="15" t="s">
        <v>12</v>
      </c>
      <c r="H131" s="478"/>
      <c r="I131" s="87"/>
      <c r="J131" s="87"/>
      <c r="K131" s="480"/>
      <c r="L131" s="159"/>
      <c r="M131" s="56"/>
      <c r="N131" s="87"/>
      <c r="O131" s="32"/>
      <c r="P131" s="89"/>
      <c r="Q131" s="56"/>
      <c r="R131" s="96"/>
      <c r="S131" s="33"/>
      <c r="T131" s="191"/>
      <c r="U131" s="230"/>
      <c r="V131" s="100"/>
      <c r="W131" s="36"/>
      <c r="X131" s="229"/>
      <c r="Y131" s="230"/>
      <c r="Z131" s="100"/>
      <c r="AA131" s="36"/>
      <c r="AB131" s="229"/>
      <c r="AC131" s="230"/>
      <c r="AD131" s="100"/>
      <c r="AE131" s="36"/>
    </row>
    <row r="132" spans="1:31" ht="11.25">
      <c r="A132" s="85" t="s">
        <v>155</v>
      </c>
      <c r="D132" s="15" t="s">
        <v>13</v>
      </c>
      <c r="H132" s="478"/>
      <c r="I132" s="87"/>
      <c r="J132" s="87"/>
      <c r="K132" s="480"/>
      <c r="L132" s="159"/>
      <c r="M132" s="56"/>
      <c r="N132" s="87"/>
      <c r="O132" s="32"/>
      <c r="P132" s="89"/>
      <c r="Q132" s="56"/>
      <c r="R132" s="86"/>
      <c r="S132" s="33"/>
      <c r="T132" s="191"/>
      <c r="U132" s="230"/>
      <c r="V132" s="192"/>
      <c r="W132" s="36"/>
      <c r="X132" s="229"/>
      <c r="Y132" s="230"/>
      <c r="Z132" s="192"/>
      <c r="AA132" s="36"/>
      <c r="AB132" s="229"/>
      <c r="AC132" s="230"/>
      <c r="AD132" s="192"/>
      <c r="AE132" s="36"/>
    </row>
    <row r="133" spans="1:31" ht="11.25">
      <c r="A133" s="85" t="s">
        <v>156</v>
      </c>
      <c r="D133" s="15" t="s">
        <v>14</v>
      </c>
      <c r="H133" s="478"/>
      <c r="I133" s="87"/>
      <c r="J133" s="87"/>
      <c r="K133" s="480"/>
      <c r="L133" s="159"/>
      <c r="M133" s="56"/>
      <c r="N133" s="87"/>
      <c r="O133" s="32"/>
      <c r="P133" s="89"/>
      <c r="Q133" s="56"/>
      <c r="R133" s="86"/>
      <c r="S133" s="33"/>
      <c r="T133" s="191"/>
      <c r="U133" s="230"/>
      <c r="V133" s="192"/>
      <c r="W133" s="36"/>
      <c r="X133" s="229"/>
      <c r="Y133" s="230"/>
      <c r="Z133" s="192"/>
      <c r="AA133" s="36"/>
      <c r="AB133" s="229"/>
      <c r="AC133" s="230"/>
      <c r="AD133" s="192"/>
      <c r="AE133" s="36"/>
    </row>
    <row r="134" spans="1:31" ht="11.25">
      <c r="A134" s="85"/>
      <c r="C134" s="15" t="s">
        <v>16</v>
      </c>
      <c r="H134" s="478">
        <f>SUM(H124:H133)</f>
        <v>38345</v>
      </c>
      <c r="I134" s="87">
        <f>SUM(I124:I133)</f>
        <v>39652</v>
      </c>
      <c r="J134" s="87">
        <f>SUM(J124:J133)</f>
        <v>225</v>
      </c>
      <c r="K134" s="480">
        <f>H134+I134+J134</f>
        <v>78222</v>
      </c>
      <c r="L134" s="159" t="s">
        <v>213</v>
      </c>
      <c r="M134" s="56">
        <f>M125</f>
        <v>21800</v>
      </c>
      <c r="N134" s="107">
        <f>O134/M134</f>
        <v>3.588165137614679</v>
      </c>
      <c r="O134" s="32">
        <f>SUM(O124:O133)</f>
        <v>78222</v>
      </c>
      <c r="P134" s="89" t="s">
        <v>213</v>
      </c>
      <c r="Q134" s="56">
        <f>Q125</f>
        <v>21800</v>
      </c>
      <c r="R134" s="107">
        <f>S134/Q134</f>
        <v>3.588165137614679</v>
      </c>
      <c r="S134" s="88">
        <f>SUM(S124:S133)</f>
        <v>78222</v>
      </c>
      <c r="T134" s="191" t="s">
        <v>213</v>
      </c>
      <c r="U134" s="230">
        <f>U125</f>
        <v>21800</v>
      </c>
      <c r="V134" s="242">
        <f>W134/U134</f>
        <v>3.7977522935779815</v>
      </c>
      <c r="W134" s="190">
        <f>SUM(W124:W133)</f>
        <v>82791</v>
      </c>
      <c r="X134" s="229" t="s">
        <v>213</v>
      </c>
      <c r="Y134" s="230">
        <f>Y125</f>
        <v>21800</v>
      </c>
      <c r="Z134" s="242">
        <f>AA134/Y134</f>
        <v>3.7977522935779815</v>
      </c>
      <c r="AA134" s="190">
        <f>SUM(AA124:AA133)</f>
        <v>82791</v>
      </c>
      <c r="AB134" s="229" t="s">
        <v>213</v>
      </c>
      <c r="AC134" s="230">
        <f>AC125</f>
        <v>21800</v>
      </c>
      <c r="AD134" s="242">
        <f>AE134/AC134</f>
        <v>3.7977522935779815</v>
      </c>
      <c r="AE134" s="190">
        <f>SUM(AE124:AE133)</f>
        <v>82791</v>
      </c>
    </row>
    <row r="135" spans="1:31" ht="11.25">
      <c r="A135" s="85"/>
      <c r="C135" s="15" t="s">
        <v>10</v>
      </c>
      <c r="H135" s="478"/>
      <c r="I135" s="87"/>
      <c r="J135" s="87"/>
      <c r="K135" s="480"/>
      <c r="L135" s="159"/>
      <c r="M135" s="56"/>
      <c r="N135" s="87"/>
      <c r="O135" s="32"/>
      <c r="P135" s="89"/>
      <c r="Q135" s="56"/>
      <c r="R135" s="86"/>
      <c r="S135" s="33"/>
      <c r="T135" s="191"/>
      <c r="U135" s="230"/>
      <c r="V135" s="192"/>
      <c r="W135" s="36"/>
      <c r="X135" s="229"/>
      <c r="Y135" s="230"/>
      <c r="Z135" s="192"/>
      <c r="AA135" s="36"/>
      <c r="AB135" s="229"/>
      <c r="AC135" s="230"/>
      <c r="AD135" s="192"/>
      <c r="AE135" s="36"/>
    </row>
    <row r="136" spans="1:31" ht="11.25">
      <c r="A136" s="85" t="s">
        <v>157</v>
      </c>
      <c r="D136" s="15" t="s">
        <v>17</v>
      </c>
      <c r="H136" s="478"/>
      <c r="I136" s="87"/>
      <c r="J136" s="87"/>
      <c r="K136" s="480"/>
      <c r="L136" s="159"/>
      <c r="M136" s="56"/>
      <c r="N136" s="87"/>
      <c r="O136" s="32"/>
      <c r="P136" s="89"/>
      <c r="Q136" s="56"/>
      <c r="R136" s="96"/>
      <c r="S136" s="33"/>
      <c r="T136" s="191"/>
      <c r="U136" s="230"/>
      <c r="V136" s="100"/>
      <c r="W136" s="36"/>
      <c r="X136" s="229"/>
      <c r="Y136" s="230"/>
      <c r="Z136" s="100"/>
      <c r="AA136" s="36"/>
      <c r="AB136" s="229"/>
      <c r="AC136" s="230"/>
      <c r="AD136" s="100"/>
      <c r="AE136" s="36"/>
    </row>
    <row r="137" spans="1:31" ht="11.25">
      <c r="A137" s="85" t="s">
        <v>191</v>
      </c>
      <c r="D137" s="15" t="s">
        <v>18</v>
      </c>
      <c r="H137" s="478">
        <f>271+1191</f>
        <v>1462</v>
      </c>
      <c r="I137" s="87">
        <f>216+952</f>
        <v>1168</v>
      </c>
      <c r="J137" s="87">
        <f>114+540</f>
        <v>654</v>
      </c>
      <c r="K137" s="480">
        <f>H137+I137+J137</f>
        <v>3284</v>
      </c>
      <c r="L137" s="159" t="s">
        <v>214</v>
      </c>
      <c r="M137" s="56">
        <f>3800+18000</f>
        <v>21800</v>
      </c>
      <c r="N137" s="107">
        <f>O137/M137</f>
        <v>0.15064220183486238</v>
      </c>
      <c r="O137" s="32">
        <f>K137</f>
        <v>3284</v>
      </c>
      <c r="P137" s="89" t="s">
        <v>214</v>
      </c>
      <c r="Q137" s="56">
        <f>3800+18000</f>
        <v>21800</v>
      </c>
      <c r="R137" s="107">
        <f>S137/Q137</f>
        <v>0.15064220183486238</v>
      </c>
      <c r="S137" s="88">
        <f>O137</f>
        <v>3284</v>
      </c>
      <c r="T137" s="89" t="s">
        <v>214</v>
      </c>
      <c r="U137" s="56">
        <f>3800+18000</f>
        <v>21800</v>
      </c>
      <c r="V137" s="107">
        <v>0.31</v>
      </c>
      <c r="W137" s="88">
        <f>U137*V137</f>
        <v>6758</v>
      </c>
      <c r="X137" s="229" t="s">
        <v>214</v>
      </c>
      <c r="Y137" s="230">
        <v>21800</v>
      </c>
      <c r="Z137" s="242">
        <v>0.31</v>
      </c>
      <c r="AA137" s="190">
        <v>6758</v>
      </c>
      <c r="AB137" s="229" t="s">
        <v>214</v>
      </c>
      <c r="AC137" s="230">
        <v>21800</v>
      </c>
      <c r="AD137" s="242">
        <v>0.31</v>
      </c>
      <c r="AE137" s="190">
        <v>6758</v>
      </c>
    </row>
    <row r="138" spans="1:31" ht="11.25">
      <c r="A138" s="85"/>
      <c r="C138" s="15" t="s">
        <v>15</v>
      </c>
      <c r="H138" s="478"/>
      <c r="I138" s="87"/>
      <c r="J138" s="87"/>
      <c r="K138" s="480"/>
      <c r="L138" s="159"/>
      <c r="M138" s="56"/>
      <c r="N138" s="87"/>
      <c r="O138" s="32"/>
      <c r="P138" s="89"/>
      <c r="Q138" s="56"/>
      <c r="R138" s="87"/>
      <c r="S138" s="88"/>
      <c r="T138" s="191"/>
      <c r="U138" s="230"/>
      <c r="V138" s="100"/>
      <c r="W138" s="36"/>
      <c r="X138" s="229"/>
      <c r="Y138" s="230"/>
      <c r="Z138" s="100"/>
      <c r="AA138" s="36"/>
      <c r="AB138" s="229"/>
      <c r="AC138" s="230"/>
      <c r="AD138" s="100"/>
      <c r="AE138" s="36"/>
    </row>
    <row r="139" spans="1:31" ht="11.25">
      <c r="A139" s="85" t="s">
        <v>403</v>
      </c>
      <c r="D139" s="15" t="s">
        <v>17</v>
      </c>
      <c r="H139" s="478"/>
      <c r="I139" s="87"/>
      <c r="J139" s="87"/>
      <c r="K139" s="480"/>
      <c r="L139" s="159"/>
      <c r="M139" s="56"/>
      <c r="N139" s="87"/>
      <c r="O139" s="32"/>
      <c r="P139" s="89"/>
      <c r="Q139" s="56"/>
      <c r="R139" s="96"/>
      <c r="S139" s="33"/>
      <c r="T139" s="191"/>
      <c r="U139" s="230"/>
      <c r="V139" s="100"/>
      <c r="W139" s="36"/>
      <c r="X139" s="229"/>
      <c r="Y139" s="230"/>
      <c r="Z139" s="100"/>
      <c r="AA139" s="36"/>
      <c r="AB139" s="229"/>
      <c r="AC139" s="230"/>
      <c r="AD139" s="100"/>
      <c r="AE139" s="36"/>
    </row>
    <row r="140" spans="1:31" ht="11.25">
      <c r="A140" s="85" t="s">
        <v>404</v>
      </c>
      <c r="D140" s="15" t="s">
        <v>19</v>
      </c>
      <c r="H140" s="478"/>
      <c r="I140" s="87"/>
      <c r="J140" s="87"/>
      <c r="K140" s="480"/>
      <c r="L140" s="159"/>
      <c r="M140" s="56"/>
      <c r="N140" s="107"/>
      <c r="O140" s="32"/>
      <c r="P140" s="89"/>
      <c r="Q140" s="56"/>
      <c r="R140" s="96"/>
      <c r="S140" s="33"/>
      <c r="T140" s="191"/>
      <c r="U140" s="230"/>
      <c r="V140" s="100"/>
      <c r="W140" s="36"/>
      <c r="X140" s="229"/>
      <c r="Y140" s="230"/>
      <c r="Z140" s="100"/>
      <c r="AA140" s="36"/>
      <c r="AB140" s="229"/>
      <c r="AC140" s="230"/>
      <c r="AD140" s="100"/>
      <c r="AE140" s="36"/>
    </row>
    <row r="141" spans="1:31" ht="11.25">
      <c r="A141" s="85"/>
      <c r="C141" s="15" t="s">
        <v>20</v>
      </c>
      <c r="H141" s="478">
        <f>SUM(H135:H140)</f>
        <v>1462</v>
      </c>
      <c r="I141" s="87">
        <f>SUM(I135:I140)</f>
        <v>1168</v>
      </c>
      <c r="J141" s="87">
        <f>SUM(J135:J140)</f>
        <v>654</v>
      </c>
      <c r="K141" s="480">
        <f>H141+I141+J141</f>
        <v>3284</v>
      </c>
      <c r="L141" s="159" t="s">
        <v>214</v>
      </c>
      <c r="M141" s="56">
        <f>M137</f>
        <v>21800</v>
      </c>
      <c r="N141" s="107">
        <f>O141/M141</f>
        <v>0.15064220183486238</v>
      </c>
      <c r="O141" s="32">
        <f>SUM(O135:O140)</f>
        <v>3284</v>
      </c>
      <c r="P141" s="89" t="s">
        <v>214</v>
      </c>
      <c r="Q141" s="56">
        <f>Q137</f>
        <v>21800</v>
      </c>
      <c r="R141" s="107">
        <f>S141/Q141</f>
        <v>0.15064220183486238</v>
      </c>
      <c r="S141" s="88">
        <f>SUM(S135:S140)</f>
        <v>3284</v>
      </c>
      <c r="T141" s="191" t="s">
        <v>214</v>
      </c>
      <c r="U141" s="230">
        <f>U137</f>
        <v>21800</v>
      </c>
      <c r="V141" s="242">
        <f>W141/U141</f>
        <v>0.31</v>
      </c>
      <c r="W141" s="190">
        <f>SUM(W135:W140)</f>
        <v>6758</v>
      </c>
      <c r="X141" s="229" t="s">
        <v>214</v>
      </c>
      <c r="Y141" s="230">
        <f>Y137</f>
        <v>21800</v>
      </c>
      <c r="Z141" s="242">
        <f>AA141/Y141</f>
        <v>0.31</v>
      </c>
      <c r="AA141" s="190">
        <f>SUM(AA135:AA140)</f>
        <v>6758</v>
      </c>
      <c r="AB141" s="229" t="s">
        <v>214</v>
      </c>
      <c r="AC141" s="230">
        <f>AC137</f>
        <v>21800</v>
      </c>
      <c r="AD141" s="242">
        <f>AE141/AC141</f>
        <v>0.31</v>
      </c>
      <c r="AE141" s="190">
        <f>SUM(AE135:AE140)</f>
        <v>6758</v>
      </c>
    </row>
    <row r="142" spans="1:31" ht="11.25">
      <c r="A142" s="85"/>
      <c r="B142" s="15" t="s">
        <v>317</v>
      </c>
      <c r="H142" s="478">
        <f>H121+H122+H123+H134+H141</f>
        <v>101513</v>
      </c>
      <c r="I142" s="87">
        <f>I121+I122+I123+I134+I141</f>
        <v>69724</v>
      </c>
      <c r="J142" s="87">
        <f>J121+J122+J123+J134+J141</f>
        <v>61229</v>
      </c>
      <c r="K142" s="480">
        <f>K121+K122+K123+K134+K141</f>
        <v>232466</v>
      </c>
      <c r="L142" s="159" t="s">
        <v>214</v>
      </c>
      <c r="M142" s="56">
        <f>M137</f>
        <v>21800</v>
      </c>
      <c r="N142" s="107">
        <f>O142/M142</f>
        <v>10.663577981651375</v>
      </c>
      <c r="O142" s="32">
        <f>O121+O122+O123+O134+O141</f>
        <v>232466</v>
      </c>
      <c r="P142" s="89" t="s">
        <v>214</v>
      </c>
      <c r="Q142" s="56">
        <f>Q137</f>
        <v>21800</v>
      </c>
      <c r="R142" s="107">
        <f>S142/Q142</f>
        <v>10.663577981651375</v>
      </c>
      <c r="S142" s="88">
        <f>S121+S122+S123+S134+S141</f>
        <v>232466</v>
      </c>
      <c r="T142" s="191" t="s">
        <v>214</v>
      </c>
      <c r="U142" s="230">
        <f>U137</f>
        <v>21800</v>
      </c>
      <c r="V142" s="242">
        <f>W142/U142</f>
        <v>11.032522935779816</v>
      </c>
      <c r="W142" s="190">
        <f>W121+W122+W123+W134+W141</f>
        <v>240509</v>
      </c>
      <c r="X142" s="229" t="s">
        <v>214</v>
      </c>
      <c r="Y142" s="230">
        <f>Y137</f>
        <v>21800</v>
      </c>
      <c r="Z142" s="242">
        <f>AA142/Y142</f>
        <v>11.032522935779816</v>
      </c>
      <c r="AA142" s="190">
        <f>AA121+AA122+AA123+AA134+AA141</f>
        <v>240509</v>
      </c>
      <c r="AB142" s="229" t="s">
        <v>214</v>
      </c>
      <c r="AC142" s="230">
        <f>AC137</f>
        <v>21800</v>
      </c>
      <c r="AD142" s="242">
        <f>AE142/AC142</f>
        <v>11.032522935779816</v>
      </c>
      <c r="AE142" s="190">
        <f>AE121+AE122+AE123+AE134+AE141</f>
        <v>240509</v>
      </c>
    </row>
    <row r="143" spans="1:31" ht="11.25">
      <c r="A143" s="85"/>
      <c r="B143" s="98"/>
      <c r="C143" s="51"/>
      <c r="D143" s="51"/>
      <c r="E143" s="51"/>
      <c r="F143" s="51"/>
      <c r="G143" s="51"/>
      <c r="H143" s="478"/>
      <c r="I143" s="87"/>
      <c r="J143" s="87"/>
      <c r="K143" s="480"/>
      <c r="L143" s="159"/>
      <c r="M143" s="56"/>
      <c r="N143" s="87"/>
      <c r="O143" s="32"/>
      <c r="P143" s="124"/>
      <c r="Q143" s="230"/>
      <c r="R143" s="189"/>
      <c r="S143" s="190"/>
      <c r="T143" s="191"/>
      <c r="U143" s="230"/>
      <c r="V143" s="189"/>
      <c r="W143" s="190"/>
      <c r="X143" s="229"/>
      <c r="Y143" s="230"/>
      <c r="Z143" s="189"/>
      <c r="AA143" s="190"/>
      <c r="AB143" s="229"/>
      <c r="AC143" s="230"/>
      <c r="AD143" s="189"/>
      <c r="AE143" s="190"/>
    </row>
    <row r="144" spans="1:31" ht="11.25">
      <c r="A144" s="85" t="s">
        <v>405</v>
      </c>
      <c r="B144" s="98" t="s">
        <v>333</v>
      </c>
      <c r="C144" s="98"/>
      <c r="H144" s="478"/>
      <c r="I144" s="87"/>
      <c r="J144" s="87"/>
      <c r="K144" s="480"/>
      <c r="L144" s="159"/>
      <c r="M144" s="56"/>
      <c r="N144" s="87"/>
      <c r="O144" s="32"/>
      <c r="P144" s="89"/>
      <c r="Q144" s="84"/>
      <c r="R144" s="87"/>
      <c r="S144" s="33"/>
      <c r="T144" s="191"/>
      <c r="U144" s="113"/>
      <c r="V144" s="189"/>
      <c r="W144" s="36"/>
      <c r="X144" s="229"/>
      <c r="Y144" s="113"/>
      <c r="Z144" s="189"/>
      <c r="AA144" s="36"/>
      <c r="AB144" s="229"/>
      <c r="AC144" s="113"/>
      <c r="AD144" s="189"/>
      <c r="AE144" s="36"/>
    </row>
    <row r="145" spans="1:31" ht="11.25">
      <c r="A145" s="85"/>
      <c r="C145" s="15" t="s">
        <v>31</v>
      </c>
      <c r="H145" s="481"/>
      <c r="I145" s="84"/>
      <c r="J145" s="84"/>
      <c r="K145" s="482"/>
      <c r="L145" s="159"/>
      <c r="M145" s="56"/>
      <c r="N145" s="87"/>
      <c r="O145" s="32"/>
      <c r="P145" s="89"/>
      <c r="Q145" s="84"/>
      <c r="R145" s="87"/>
      <c r="S145" s="33"/>
      <c r="T145" s="191"/>
      <c r="U145" s="113"/>
      <c r="V145" s="189"/>
      <c r="W145" s="36"/>
      <c r="X145" s="229"/>
      <c r="Y145" s="113"/>
      <c r="Z145" s="189"/>
      <c r="AA145" s="36"/>
      <c r="AB145" s="229"/>
      <c r="AC145" s="113"/>
      <c r="AD145" s="189"/>
      <c r="AE145" s="36"/>
    </row>
    <row r="146" spans="1:31" ht="11.25">
      <c r="A146" s="85" t="s">
        <v>406</v>
      </c>
      <c r="D146" s="15" t="s">
        <v>177</v>
      </c>
      <c r="H146" s="478">
        <f>67429+43043</f>
        <v>110472</v>
      </c>
      <c r="I146" s="87">
        <f>23315+21288</f>
        <v>44603</v>
      </c>
      <c r="J146" s="87">
        <v>0</v>
      </c>
      <c r="K146" s="480">
        <f>H146+I146+J146</f>
        <v>155075</v>
      </c>
      <c r="L146" s="159" t="s">
        <v>208</v>
      </c>
      <c r="M146" s="56">
        <f>74+11</f>
        <v>85</v>
      </c>
      <c r="N146" s="87">
        <f>O146/M146</f>
        <v>1824.4117647058824</v>
      </c>
      <c r="O146" s="32">
        <f>K146</f>
        <v>155075</v>
      </c>
      <c r="P146" s="89" t="s">
        <v>208</v>
      </c>
      <c r="Q146" s="56">
        <f>74+11</f>
        <v>85</v>
      </c>
      <c r="R146" s="87">
        <f>S146/Q146</f>
        <v>1824.4117647058824</v>
      </c>
      <c r="S146" s="88">
        <f>O146</f>
        <v>155075</v>
      </c>
      <c r="T146" s="191" t="s">
        <v>208</v>
      </c>
      <c r="U146" s="230">
        <f>74+11</f>
        <v>85</v>
      </c>
      <c r="V146" s="189">
        <f>W146/U146</f>
        <v>1824.4117647058824</v>
      </c>
      <c r="W146" s="190">
        <f>S146</f>
        <v>155075</v>
      </c>
      <c r="X146" s="229" t="s">
        <v>208</v>
      </c>
      <c r="Y146" s="230">
        <v>85</v>
      </c>
      <c r="Z146" s="189">
        <v>1824.4117647058824</v>
      </c>
      <c r="AA146" s="190">
        <v>155075</v>
      </c>
      <c r="AB146" s="229" t="s">
        <v>208</v>
      </c>
      <c r="AC146" s="230">
        <v>85</v>
      </c>
      <c r="AD146" s="189">
        <v>1824.4117647058824</v>
      </c>
      <c r="AE146" s="190">
        <v>155075</v>
      </c>
    </row>
    <row r="147" spans="1:31" ht="11.25">
      <c r="A147" s="85" t="s">
        <v>407</v>
      </c>
      <c r="D147" s="15" t="s">
        <v>178</v>
      </c>
      <c r="H147" s="478">
        <v>28188</v>
      </c>
      <c r="I147" s="87">
        <v>13204</v>
      </c>
      <c r="J147" s="87">
        <v>0</v>
      </c>
      <c r="K147" s="480">
        <f>H147+I147+J147</f>
        <v>41392</v>
      </c>
      <c r="L147" s="159" t="s">
        <v>213</v>
      </c>
      <c r="M147" s="56">
        <v>402</v>
      </c>
      <c r="N147" s="87">
        <f>O147/M147</f>
        <v>102.96517412935323</v>
      </c>
      <c r="O147" s="32">
        <f>K147</f>
        <v>41392</v>
      </c>
      <c r="P147" s="89" t="s">
        <v>213</v>
      </c>
      <c r="Q147" s="56">
        <v>402</v>
      </c>
      <c r="R147" s="87">
        <f>S147/Q147</f>
        <v>102.96517412935323</v>
      </c>
      <c r="S147" s="88">
        <f>O147</f>
        <v>41392</v>
      </c>
      <c r="T147" s="191" t="s">
        <v>213</v>
      </c>
      <c r="U147" s="230">
        <v>402</v>
      </c>
      <c r="V147" s="189">
        <f>W147/U147</f>
        <v>102.96517412935323</v>
      </c>
      <c r="W147" s="190">
        <f>S147</f>
        <v>41392</v>
      </c>
      <c r="X147" s="229" t="s">
        <v>213</v>
      </c>
      <c r="Y147" s="230">
        <v>402</v>
      </c>
      <c r="Z147" s="189">
        <v>102.96517412935323</v>
      </c>
      <c r="AA147" s="190">
        <v>41392</v>
      </c>
      <c r="AB147" s="229" t="s">
        <v>213</v>
      </c>
      <c r="AC147" s="230">
        <v>402</v>
      </c>
      <c r="AD147" s="189">
        <v>102.96517412935323</v>
      </c>
      <c r="AE147" s="190">
        <v>41392</v>
      </c>
    </row>
    <row r="148" spans="1:31" ht="11.25">
      <c r="A148" s="85" t="s">
        <v>408</v>
      </c>
      <c r="C148" s="15" t="s">
        <v>300</v>
      </c>
      <c r="H148" s="478">
        <v>60837</v>
      </c>
      <c r="I148" s="87">
        <v>28497</v>
      </c>
      <c r="J148" s="87">
        <v>59500</v>
      </c>
      <c r="K148" s="480">
        <f>H148+I148+J148</f>
        <v>148834</v>
      </c>
      <c r="L148" s="159" t="s">
        <v>213</v>
      </c>
      <c r="M148" s="56">
        <v>350</v>
      </c>
      <c r="N148" s="87">
        <f>O148/M148</f>
        <v>425.24</v>
      </c>
      <c r="O148" s="32">
        <f>K148</f>
        <v>148834</v>
      </c>
      <c r="P148" s="89" t="s">
        <v>213</v>
      </c>
      <c r="Q148" s="56">
        <v>350</v>
      </c>
      <c r="R148" s="87">
        <f>S148/Q148</f>
        <v>425.24</v>
      </c>
      <c r="S148" s="88">
        <f>O148</f>
        <v>148834</v>
      </c>
      <c r="T148" s="191" t="s">
        <v>213</v>
      </c>
      <c r="U148" s="230">
        <v>350</v>
      </c>
      <c r="V148" s="189">
        <f>W148/U148</f>
        <v>425.24</v>
      </c>
      <c r="W148" s="190">
        <f>S148</f>
        <v>148834</v>
      </c>
      <c r="X148" s="229" t="s">
        <v>213</v>
      </c>
      <c r="Y148" s="230">
        <v>350</v>
      </c>
      <c r="Z148" s="189">
        <v>425.24</v>
      </c>
      <c r="AA148" s="190">
        <v>148834</v>
      </c>
      <c r="AB148" s="229" t="s">
        <v>213</v>
      </c>
      <c r="AC148" s="230">
        <v>350</v>
      </c>
      <c r="AD148" s="189">
        <v>425.24</v>
      </c>
      <c r="AE148" s="190">
        <v>148834</v>
      </c>
    </row>
    <row r="149" spans="1:31" ht="11.25">
      <c r="A149" s="85"/>
      <c r="C149" s="15" t="s">
        <v>10</v>
      </c>
      <c r="H149" s="478"/>
      <c r="I149" s="87"/>
      <c r="J149" s="87"/>
      <c r="K149" s="480"/>
      <c r="L149" s="159"/>
      <c r="M149" s="56"/>
      <c r="N149" s="87"/>
      <c r="O149" s="32"/>
      <c r="P149" s="89"/>
      <c r="Q149" s="56"/>
      <c r="R149" s="87"/>
      <c r="S149" s="88"/>
      <c r="T149" s="191"/>
      <c r="U149" s="230"/>
      <c r="V149" s="189"/>
      <c r="W149" s="190"/>
      <c r="X149" s="229"/>
      <c r="Y149" s="230"/>
      <c r="Z149" s="189"/>
      <c r="AA149" s="190"/>
      <c r="AB149" s="229"/>
      <c r="AC149" s="230"/>
      <c r="AD149" s="189"/>
      <c r="AE149" s="190"/>
    </row>
    <row r="150" spans="1:31" ht="11.25">
      <c r="A150" s="85" t="s">
        <v>409</v>
      </c>
      <c r="D150" s="15" t="s">
        <v>11</v>
      </c>
      <c r="H150" s="478">
        <f>1126+774+253+520+52+601+962+390+1202+1382+1235+314</f>
        <v>8811</v>
      </c>
      <c r="I150" s="87">
        <f>1846+1133+272+1154+1648+2307+2369</f>
        <v>10729</v>
      </c>
      <c r="J150" s="87">
        <v>0</v>
      </c>
      <c r="K150" s="480">
        <f>H150+I150+J150</f>
        <v>19540</v>
      </c>
      <c r="L150" s="159" t="s">
        <v>213</v>
      </c>
      <c r="M150" s="56">
        <f>4000+5950+8460</f>
        <v>18410</v>
      </c>
      <c r="N150" s="107">
        <f>O150/M150</f>
        <v>1.0613796849538295</v>
      </c>
      <c r="O150" s="32">
        <f>K150</f>
        <v>19540</v>
      </c>
      <c r="P150" s="89" t="s">
        <v>213</v>
      </c>
      <c r="Q150" s="56">
        <f>4000+5950+8460</f>
        <v>18410</v>
      </c>
      <c r="R150" s="107">
        <f>S150/Q150</f>
        <v>1.0613796849538295</v>
      </c>
      <c r="S150" s="88">
        <f>O150</f>
        <v>19540</v>
      </c>
      <c r="T150" s="191" t="s">
        <v>213</v>
      </c>
      <c r="U150" s="230">
        <f>4000+5950+8460</f>
        <v>18410</v>
      </c>
      <c r="V150" s="242">
        <f>W150/U150</f>
        <v>1.0613796849538295</v>
      </c>
      <c r="W150" s="190">
        <f>S150</f>
        <v>19540</v>
      </c>
      <c r="X150" s="229" t="s">
        <v>213</v>
      </c>
      <c r="Y150" s="230">
        <v>18410</v>
      </c>
      <c r="Z150" s="242">
        <v>1.0613796849538295</v>
      </c>
      <c r="AA150" s="190">
        <v>19540</v>
      </c>
      <c r="AB150" s="229" t="s">
        <v>213</v>
      </c>
      <c r="AC150" s="230">
        <v>18410</v>
      </c>
      <c r="AD150" s="242">
        <v>1.0613796849538295</v>
      </c>
      <c r="AE150" s="190">
        <v>19540</v>
      </c>
    </row>
    <row r="151" spans="1:31" ht="11.25">
      <c r="A151" s="85" t="s">
        <v>410</v>
      </c>
      <c r="D151" s="15" t="s">
        <v>12</v>
      </c>
      <c r="H151" s="478"/>
      <c r="I151" s="87"/>
      <c r="J151" s="87"/>
      <c r="K151" s="480"/>
      <c r="L151" s="159"/>
      <c r="M151" s="56"/>
      <c r="N151" s="87"/>
      <c r="O151" s="32"/>
      <c r="P151" s="89"/>
      <c r="Q151" s="56"/>
      <c r="R151" s="87"/>
      <c r="S151" s="88"/>
      <c r="T151" s="191"/>
      <c r="U151" s="322"/>
      <c r="V151" s="189"/>
      <c r="W151" s="190"/>
      <c r="X151" s="229"/>
      <c r="Y151" s="322"/>
      <c r="Z151" s="189"/>
      <c r="AA151" s="190"/>
      <c r="AB151" s="229"/>
      <c r="AC151" s="322"/>
      <c r="AD151" s="189"/>
      <c r="AE151" s="190"/>
    </row>
    <row r="152" spans="1:31" ht="11.25">
      <c r="A152" s="85" t="s">
        <v>411</v>
      </c>
      <c r="D152" s="15" t="s">
        <v>13</v>
      </c>
      <c r="H152" s="478"/>
      <c r="I152" s="87"/>
      <c r="J152" s="87"/>
      <c r="K152" s="480"/>
      <c r="L152" s="159"/>
      <c r="M152" s="56"/>
      <c r="N152" s="87"/>
      <c r="O152" s="32"/>
      <c r="P152" s="89"/>
      <c r="Q152" s="56"/>
      <c r="R152" s="87"/>
      <c r="S152" s="88"/>
      <c r="T152" s="191"/>
      <c r="U152" s="230"/>
      <c r="V152" s="189"/>
      <c r="W152" s="190"/>
      <c r="X152" s="229"/>
      <c r="Y152" s="230"/>
      <c r="Z152" s="189"/>
      <c r="AA152" s="190"/>
      <c r="AB152" s="229"/>
      <c r="AC152" s="230"/>
      <c r="AD152" s="189"/>
      <c r="AE152" s="190"/>
    </row>
    <row r="153" spans="1:31" ht="11.25">
      <c r="A153" s="85" t="s">
        <v>412</v>
      </c>
      <c r="D153" s="15" t="s">
        <v>14</v>
      </c>
      <c r="H153" s="478">
        <f>1407+421</f>
        <v>1828</v>
      </c>
      <c r="I153" s="87">
        <f>1767+570</f>
        <v>2337</v>
      </c>
      <c r="J153" s="87">
        <v>0</v>
      </c>
      <c r="K153" s="480">
        <f>H153+I153+J153</f>
        <v>4165</v>
      </c>
      <c r="L153" s="159" t="s">
        <v>213</v>
      </c>
      <c r="M153" s="56">
        <v>1600</v>
      </c>
      <c r="N153" s="107">
        <f>O153/M153</f>
        <v>2.603125</v>
      </c>
      <c r="O153" s="32">
        <f>K153</f>
        <v>4165</v>
      </c>
      <c r="P153" s="89" t="s">
        <v>213</v>
      </c>
      <c r="Q153" s="56">
        <v>1600</v>
      </c>
      <c r="R153" s="107">
        <f>S153/Q153</f>
        <v>2.603125</v>
      </c>
      <c r="S153" s="88">
        <f>O153</f>
        <v>4165</v>
      </c>
      <c r="T153" s="191" t="s">
        <v>213</v>
      </c>
      <c r="U153" s="230">
        <f>Q153*2</f>
        <v>3200</v>
      </c>
      <c r="V153" s="242">
        <f>R153*2</f>
        <v>5.20625</v>
      </c>
      <c r="W153" s="190">
        <f>U153*V153</f>
        <v>16660</v>
      </c>
      <c r="X153" s="229" t="s">
        <v>213</v>
      </c>
      <c r="Y153" s="230">
        <v>3200</v>
      </c>
      <c r="Z153" s="242">
        <v>5.20625</v>
      </c>
      <c r="AA153" s="190">
        <v>16660</v>
      </c>
      <c r="AB153" s="229" t="s">
        <v>213</v>
      </c>
      <c r="AC153" s="230">
        <v>3200</v>
      </c>
      <c r="AD153" s="242">
        <v>5.20625</v>
      </c>
      <c r="AE153" s="190">
        <v>16660</v>
      </c>
    </row>
    <row r="154" spans="1:31" ht="11.25">
      <c r="A154" s="85"/>
      <c r="C154" s="15" t="s">
        <v>15</v>
      </c>
      <c r="H154" s="478"/>
      <c r="I154" s="87"/>
      <c r="J154" s="87"/>
      <c r="K154" s="480"/>
      <c r="L154" s="159"/>
      <c r="M154" s="56"/>
      <c r="N154" s="87"/>
      <c r="O154" s="32"/>
      <c r="P154" s="89"/>
      <c r="Q154" s="56"/>
      <c r="R154" s="86"/>
      <c r="S154" s="33"/>
      <c r="T154" s="191"/>
      <c r="U154" s="230"/>
      <c r="V154" s="192"/>
      <c r="W154" s="36"/>
      <c r="X154" s="229"/>
      <c r="Y154" s="230"/>
      <c r="Z154" s="192"/>
      <c r="AA154" s="36"/>
      <c r="AB154" s="229"/>
      <c r="AC154" s="230"/>
      <c r="AD154" s="192"/>
      <c r="AE154" s="36"/>
    </row>
    <row r="155" spans="1:31" ht="11.25">
      <c r="A155" s="85" t="s">
        <v>413</v>
      </c>
      <c r="D155" s="15" t="s">
        <v>11</v>
      </c>
      <c r="H155" s="478"/>
      <c r="I155" s="87"/>
      <c r="J155" s="87"/>
      <c r="K155" s="480"/>
      <c r="L155" s="159"/>
      <c r="M155" s="56"/>
      <c r="N155" s="87"/>
      <c r="O155" s="32"/>
      <c r="P155" s="89"/>
      <c r="Q155" s="56"/>
      <c r="R155" s="86"/>
      <c r="S155" s="33"/>
      <c r="T155" s="191"/>
      <c r="U155" s="230"/>
      <c r="V155" s="192"/>
      <c r="W155" s="36"/>
      <c r="X155" s="229"/>
      <c r="Y155" s="230"/>
      <c r="Z155" s="192"/>
      <c r="AA155" s="36"/>
      <c r="AB155" s="229"/>
      <c r="AC155" s="230"/>
      <c r="AD155" s="192"/>
      <c r="AE155" s="36"/>
    </row>
    <row r="156" spans="1:31" ht="11.25">
      <c r="A156" s="85" t="s">
        <v>414</v>
      </c>
      <c r="D156" s="15" t="s">
        <v>12</v>
      </c>
      <c r="H156" s="478"/>
      <c r="I156" s="87"/>
      <c r="J156" s="87"/>
      <c r="K156" s="480"/>
      <c r="L156" s="159"/>
      <c r="M156" s="56"/>
      <c r="N156" s="87"/>
      <c r="O156" s="32"/>
      <c r="P156" s="89"/>
      <c r="Q156" s="56"/>
      <c r="R156" s="96"/>
      <c r="S156" s="33"/>
      <c r="T156" s="191"/>
      <c r="U156" s="230"/>
      <c r="V156" s="100"/>
      <c r="W156" s="36"/>
      <c r="X156" s="229"/>
      <c r="Y156" s="230"/>
      <c r="Z156" s="100"/>
      <c r="AA156" s="36"/>
      <c r="AB156" s="229"/>
      <c r="AC156" s="230"/>
      <c r="AD156" s="100"/>
      <c r="AE156" s="36"/>
    </row>
    <row r="157" spans="1:31" ht="11.25">
      <c r="A157" s="85" t="s">
        <v>415</v>
      </c>
      <c r="D157" s="15" t="s">
        <v>13</v>
      </c>
      <c r="H157" s="478"/>
      <c r="I157" s="87"/>
      <c r="J157" s="87"/>
      <c r="K157" s="480"/>
      <c r="L157" s="159"/>
      <c r="M157" s="56"/>
      <c r="N157" s="87"/>
      <c r="O157" s="32"/>
      <c r="P157" s="89"/>
      <c r="Q157" s="56"/>
      <c r="R157" s="86"/>
      <c r="S157" s="33"/>
      <c r="T157" s="191"/>
      <c r="U157" s="230"/>
      <c r="V157" s="192"/>
      <c r="W157" s="36"/>
      <c r="X157" s="229"/>
      <c r="Y157" s="230"/>
      <c r="Z157" s="192"/>
      <c r="AA157" s="36"/>
      <c r="AB157" s="229"/>
      <c r="AC157" s="230"/>
      <c r="AD157" s="192"/>
      <c r="AE157" s="36"/>
    </row>
    <row r="158" spans="1:31" ht="11.25">
      <c r="A158" s="85" t="s">
        <v>416</v>
      </c>
      <c r="D158" s="15" t="s">
        <v>14</v>
      </c>
      <c r="H158" s="478"/>
      <c r="I158" s="87"/>
      <c r="J158" s="87"/>
      <c r="K158" s="480"/>
      <c r="L158" s="159"/>
      <c r="M158" s="56"/>
      <c r="N158" s="87"/>
      <c r="O158" s="32"/>
      <c r="P158" s="89"/>
      <c r="Q158" s="56"/>
      <c r="R158" s="86"/>
      <c r="S158" s="33"/>
      <c r="T158" s="191"/>
      <c r="U158" s="230"/>
      <c r="V158" s="192"/>
      <c r="W158" s="36"/>
      <c r="X158" s="229"/>
      <c r="Y158" s="230"/>
      <c r="Z158" s="192"/>
      <c r="AA158" s="36"/>
      <c r="AB158" s="229"/>
      <c r="AC158" s="230"/>
      <c r="AD158" s="192"/>
      <c r="AE158" s="36"/>
    </row>
    <row r="159" spans="1:31" ht="11.25">
      <c r="A159" s="85"/>
      <c r="C159" s="15" t="s">
        <v>16</v>
      </c>
      <c r="H159" s="478">
        <f>SUM(H149:H158)</f>
        <v>10639</v>
      </c>
      <c r="I159" s="87">
        <f>SUM(I149:I158)</f>
        <v>13066</v>
      </c>
      <c r="J159" s="87">
        <f>SUM(J149:J158)</f>
        <v>0</v>
      </c>
      <c r="K159" s="480">
        <f>H159+I159+J159</f>
        <v>23705</v>
      </c>
      <c r="L159" s="159" t="s">
        <v>213</v>
      </c>
      <c r="M159" s="56">
        <f>M150</f>
        <v>18410</v>
      </c>
      <c r="N159" s="107">
        <f>O159/M159</f>
        <v>1.2876154263986963</v>
      </c>
      <c r="O159" s="32">
        <f>SUM(O149:O158)</f>
        <v>23705</v>
      </c>
      <c r="P159" s="89" t="s">
        <v>213</v>
      </c>
      <c r="Q159" s="56">
        <f>Q150</f>
        <v>18410</v>
      </c>
      <c r="R159" s="107">
        <f>S159/Q159</f>
        <v>1.2876154263986963</v>
      </c>
      <c r="S159" s="88">
        <f>SUM(S149:S158)</f>
        <v>23705</v>
      </c>
      <c r="T159" s="191" t="s">
        <v>213</v>
      </c>
      <c r="U159" s="230">
        <f>U150</f>
        <v>18410</v>
      </c>
      <c r="V159" s="242">
        <f>W159/U159</f>
        <v>1.9663226507332972</v>
      </c>
      <c r="W159" s="190">
        <f>SUM(W149:W158)</f>
        <v>36200</v>
      </c>
      <c r="X159" s="229" t="s">
        <v>213</v>
      </c>
      <c r="Y159" s="230">
        <f>Y150</f>
        <v>18410</v>
      </c>
      <c r="Z159" s="242">
        <f>AA159/Y159</f>
        <v>1.9663226507332972</v>
      </c>
      <c r="AA159" s="190">
        <f>SUM(AA149:AA158)</f>
        <v>36200</v>
      </c>
      <c r="AB159" s="229" t="s">
        <v>213</v>
      </c>
      <c r="AC159" s="230">
        <f>AC150</f>
        <v>18410</v>
      </c>
      <c r="AD159" s="242">
        <f>AE159/AC159</f>
        <v>1.9663226507332972</v>
      </c>
      <c r="AE159" s="190">
        <f>SUM(AE149:AE158)</f>
        <v>36200</v>
      </c>
    </row>
    <row r="160" spans="1:31" ht="11.25">
      <c r="A160" s="85"/>
      <c r="C160" s="15" t="s">
        <v>10</v>
      </c>
      <c r="H160" s="478"/>
      <c r="I160" s="87"/>
      <c r="J160" s="87"/>
      <c r="K160" s="480"/>
      <c r="L160" s="159"/>
      <c r="M160" s="56"/>
      <c r="N160" s="87"/>
      <c r="O160" s="32"/>
      <c r="P160" s="89"/>
      <c r="Q160" s="56"/>
      <c r="R160" s="86"/>
      <c r="S160" s="33"/>
      <c r="T160" s="191"/>
      <c r="U160" s="230"/>
      <c r="V160" s="192"/>
      <c r="W160" s="36"/>
      <c r="X160" s="229"/>
      <c r="Y160" s="230"/>
      <c r="Z160" s="192"/>
      <c r="AA160" s="36"/>
      <c r="AB160" s="229"/>
      <c r="AC160" s="230"/>
      <c r="AD160" s="192"/>
      <c r="AE160" s="36"/>
    </row>
    <row r="161" spans="1:31" ht="11.25">
      <c r="A161" s="85" t="s">
        <v>417</v>
      </c>
      <c r="D161" s="15" t="s">
        <v>17</v>
      </c>
      <c r="H161" s="478"/>
      <c r="I161" s="87"/>
      <c r="J161" s="87"/>
      <c r="K161" s="480"/>
      <c r="L161" s="159"/>
      <c r="M161" s="56"/>
      <c r="N161" s="87"/>
      <c r="O161" s="32"/>
      <c r="P161" s="89"/>
      <c r="Q161" s="56"/>
      <c r="R161" s="96"/>
      <c r="S161" s="33"/>
      <c r="T161" s="191"/>
      <c r="U161" s="230"/>
      <c r="V161" s="100"/>
      <c r="W161" s="36"/>
      <c r="X161" s="229"/>
      <c r="Y161" s="230"/>
      <c r="Z161" s="100"/>
      <c r="AA161" s="36"/>
      <c r="AB161" s="229"/>
      <c r="AC161" s="230"/>
      <c r="AD161" s="100"/>
      <c r="AE161" s="36"/>
    </row>
    <row r="162" spans="1:31" ht="11.25">
      <c r="A162" s="85" t="s">
        <v>418</v>
      </c>
      <c r="D162" s="15" t="s">
        <v>18</v>
      </c>
      <c r="H162" s="478">
        <f>63+271+649</f>
        <v>983</v>
      </c>
      <c r="I162" s="87">
        <f>43+216+519</f>
        <v>778</v>
      </c>
      <c r="J162" s="87">
        <f>24+107+294</f>
        <v>425</v>
      </c>
      <c r="K162" s="480">
        <f>H162+I162+J162</f>
        <v>2186</v>
      </c>
      <c r="L162" s="159" t="s">
        <v>214</v>
      </c>
      <c r="M162" s="56">
        <f>800+3550+9800</f>
        <v>14150</v>
      </c>
      <c r="N162" s="107">
        <f>O162/M162</f>
        <v>0.15448763250883393</v>
      </c>
      <c r="O162" s="32">
        <f>K162</f>
        <v>2186</v>
      </c>
      <c r="P162" s="89" t="s">
        <v>214</v>
      </c>
      <c r="Q162" s="56">
        <f>800+3550+9800</f>
        <v>14150</v>
      </c>
      <c r="R162" s="107">
        <f>S162/Q162</f>
        <v>0.15448763250883393</v>
      </c>
      <c r="S162" s="88">
        <f>O162</f>
        <v>2186</v>
      </c>
      <c r="T162" s="191" t="s">
        <v>214</v>
      </c>
      <c r="U162" s="230">
        <f>800+3550+9800</f>
        <v>14150</v>
      </c>
      <c r="V162" s="242">
        <v>0.31</v>
      </c>
      <c r="W162" s="190">
        <f>U162*V162</f>
        <v>4386.5</v>
      </c>
      <c r="X162" s="229" t="s">
        <v>214</v>
      </c>
      <c r="Y162" s="230">
        <v>14150</v>
      </c>
      <c r="Z162" s="242">
        <v>0.31</v>
      </c>
      <c r="AA162" s="190">
        <v>4386.5</v>
      </c>
      <c r="AB162" s="229" t="s">
        <v>214</v>
      </c>
      <c r="AC162" s="230">
        <v>14150</v>
      </c>
      <c r="AD162" s="242">
        <v>0.31</v>
      </c>
      <c r="AE162" s="190">
        <v>4386.5</v>
      </c>
    </row>
    <row r="163" spans="1:31" ht="11.25">
      <c r="A163" s="85"/>
      <c r="C163" s="15" t="s">
        <v>15</v>
      </c>
      <c r="H163" s="478"/>
      <c r="I163" s="87"/>
      <c r="J163" s="87"/>
      <c r="K163" s="480"/>
      <c r="L163" s="159"/>
      <c r="M163" s="56"/>
      <c r="N163" s="87"/>
      <c r="O163" s="32"/>
      <c r="P163" s="89"/>
      <c r="Q163" s="56"/>
      <c r="R163" s="96"/>
      <c r="S163" s="33"/>
      <c r="T163" s="191"/>
      <c r="U163" s="230"/>
      <c r="V163" s="100"/>
      <c r="W163" s="36"/>
      <c r="X163" s="229"/>
      <c r="Y163" s="230"/>
      <c r="Z163" s="100"/>
      <c r="AA163" s="36"/>
      <c r="AB163" s="229"/>
      <c r="AC163" s="230"/>
      <c r="AD163" s="100"/>
      <c r="AE163" s="36"/>
    </row>
    <row r="164" spans="1:31" ht="11.25">
      <c r="A164" s="85" t="s">
        <v>419</v>
      </c>
      <c r="D164" s="15" t="s">
        <v>17</v>
      </c>
      <c r="H164" s="478"/>
      <c r="I164" s="87"/>
      <c r="J164" s="87"/>
      <c r="K164" s="480"/>
      <c r="L164" s="159"/>
      <c r="M164" s="56"/>
      <c r="N164" s="87"/>
      <c r="O164" s="32"/>
      <c r="P164" s="89"/>
      <c r="Q164" s="56"/>
      <c r="R164" s="96"/>
      <c r="S164" s="33"/>
      <c r="T164" s="191"/>
      <c r="U164" s="230"/>
      <c r="V164" s="100"/>
      <c r="W164" s="36"/>
      <c r="X164" s="229"/>
      <c r="Y164" s="230"/>
      <c r="Z164" s="100"/>
      <c r="AA164" s="36"/>
      <c r="AB164" s="229"/>
      <c r="AC164" s="230"/>
      <c r="AD164" s="100"/>
      <c r="AE164" s="36"/>
    </row>
    <row r="165" spans="1:31" ht="11.25">
      <c r="A165" s="85" t="s">
        <v>420</v>
      </c>
      <c r="D165" s="15" t="s">
        <v>19</v>
      </c>
      <c r="H165" s="478"/>
      <c r="I165" s="87"/>
      <c r="J165" s="87"/>
      <c r="K165" s="480"/>
      <c r="L165" s="159"/>
      <c r="M165" s="56"/>
      <c r="N165" s="107"/>
      <c r="O165" s="32"/>
      <c r="P165" s="89"/>
      <c r="Q165" s="56"/>
      <c r="R165" s="96"/>
      <c r="S165" s="33"/>
      <c r="T165" s="191"/>
      <c r="U165" s="230"/>
      <c r="V165" s="100"/>
      <c r="W165" s="36"/>
      <c r="X165" s="229"/>
      <c r="Y165" s="230"/>
      <c r="Z165" s="100"/>
      <c r="AA165" s="36"/>
      <c r="AB165" s="229"/>
      <c r="AC165" s="230"/>
      <c r="AD165" s="100"/>
      <c r="AE165" s="36"/>
    </row>
    <row r="166" spans="1:31" ht="11.25">
      <c r="A166" s="85"/>
      <c r="C166" s="15" t="s">
        <v>20</v>
      </c>
      <c r="H166" s="478">
        <f>SUM(H160:H165)</f>
        <v>983</v>
      </c>
      <c r="I166" s="87">
        <f>SUM(I160:I165)</f>
        <v>778</v>
      </c>
      <c r="J166" s="87">
        <f>SUM(J160:J165)</f>
        <v>425</v>
      </c>
      <c r="K166" s="480">
        <f>H166+I166+J166</f>
        <v>2186</v>
      </c>
      <c r="L166" s="159" t="s">
        <v>214</v>
      </c>
      <c r="M166" s="56">
        <f>M162</f>
        <v>14150</v>
      </c>
      <c r="N166" s="107">
        <f>O166/M166</f>
        <v>0.15448763250883393</v>
      </c>
      <c r="O166" s="32">
        <f>SUM(O160:O165)</f>
        <v>2186</v>
      </c>
      <c r="P166" s="89" t="s">
        <v>214</v>
      </c>
      <c r="Q166" s="56">
        <f>Q162</f>
        <v>14150</v>
      </c>
      <c r="R166" s="107">
        <f>S166/Q166</f>
        <v>0.15448763250883393</v>
      </c>
      <c r="S166" s="88">
        <f>SUM(S160:S165)</f>
        <v>2186</v>
      </c>
      <c r="T166" s="191" t="s">
        <v>214</v>
      </c>
      <c r="U166" s="230">
        <f>U162</f>
        <v>14150</v>
      </c>
      <c r="V166" s="242">
        <f>W166/U166</f>
        <v>0.31</v>
      </c>
      <c r="W166" s="190">
        <f>SUM(W160:W165)</f>
        <v>4386.5</v>
      </c>
      <c r="X166" s="191" t="s">
        <v>214</v>
      </c>
      <c r="Y166" s="230">
        <f>Y162</f>
        <v>14150</v>
      </c>
      <c r="Z166" s="242">
        <f>AA166/Y166</f>
        <v>0.31</v>
      </c>
      <c r="AA166" s="190">
        <f>SUM(AA160:AA165)</f>
        <v>4386.5</v>
      </c>
      <c r="AB166" s="191" t="s">
        <v>214</v>
      </c>
      <c r="AC166" s="230">
        <f>AC162</f>
        <v>14150</v>
      </c>
      <c r="AD166" s="242">
        <f>AE166/AC166</f>
        <v>0.31</v>
      </c>
      <c r="AE166" s="190">
        <f>SUM(AE160:AE165)</f>
        <v>4386.5</v>
      </c>
    </row>
    <row r="167" spans="1:31" ht="11.25">
      <c r="A167" s="85"/>
      <c r="B167" s="15" t="s">
        <v>260</v>
      </c>
      <c r="H167" s="478">
        <f>H146+H147+H148+H159+H166</f>
        <v>211119</v>
      </c>
      <c r="I167" s="87">
        <f>I146+I147+I148+I159+I166</f>
        <v>100148</v>
      </c>
      <c r="J167" s="87">
        <f>J146+J147+J148+J159+J166</f>
        <v>59925</v>
      </c>
      <c r="K167" s="480">
        <f>K146+K147+K148+K159+K166</f>
        <v>371192</v>
      </c>
      <c r="L167" s="159" t="s">
        <v>213</v>
      </c>
      <c r="M167" s="56">
        <f>M150</f>
        <v>18410</v>
      </c>
      <c r="N167" s="107">
        <f>O167/M167</f>
        <v>20.162520369364476</v>
      </c>
      <c r="O167" s="32">
        <f>O146+O147+O148+O159+O166</f>
        <v>371192</v>
      </c>
      <c r="P167" s="89" t="s">
        <v>213</v>
      </c>
      <c r="Q167" s="56">
        <f>Q150</f>
        <v>18410</v>
      </c>
      <c r="R167" s="107">
        <f>S167/Q167</f>
        <v>20.162520369364476</v>
      </c>
      <c r="S167" s="54">
        <f>S146+S147+S148+S159+S166</f>
        <v>371192</v>
      </c>
      <c r="T167" s="191" t="s">
        <v>213</v>
      </c>
      <c r="U167" s="230">
        <f>U150</f>
        <v>18410</v>
      </c>
      <c r="V167" s="242">
        <f>W167/U167</f>
        <v>20.960755024443237</v>
      </c>
      <c r="W167" s="190">
        <f>W146+W147+W148+W159+W166</f>
        <v>385887.5</v>
      </c>
      <c r="X167" s="191" t="s">
        <v>213</v>
      </c>
      <c r="Y167" s="230">
        <f>Y150</f>
        <v>18410</v>
      </c>
      <c r="Z167" s="242">
        <f>AA167/Y167</f>
        <v>20.960755024443237</v>
      </c>
      <c r="AA167" s="190">
        <f>AA146+AA147+AA148+AA159+AA166</f>
        <v>385887.5</v>
      </c>
      <c r="AB167" s="191" t="s">
        <v>213</v>
      </c>
      <c r="AC167" s="230">
        <f>AC150</f>
        <v>18410</v>
      </c>
      <c r="AD167" s="242">
        <f>AE167/AC167</f>
        <v>20.960755024443237</v>
      </c>
      <c r="AE167" s="190">
        <f>AE146+AE147+AE148+AE159+AE166</f>
        <v>385887.5</v>
      </c>
    </row>
    <row r="168" spans="1:31" ht="12" thickBot="1">
      <c r="A168" s="85"/>
      <c r="B168" s="98"/>
      <c r="C168" s="51"/>
      <c r="D168" s="51"/>
      <c r="E168" s="51"/>
      <c r="F168" s="51"/>
      <c r="G168" s="51"/>
      <c r="H168" s="478"/>
      <c r="I168" s="87"/>
      <c r="J168" s="87"/>
      <c r="K168" s="480"/>
      <c r="L168" s="159"/>
      <c r="M168" s="56"/>
      <c r="N168" s="87"/>
      <c r="O168" s="32"/>
      <c r="P168" s="89"/>
      <c r="Q168" s="56"/>
      <c r="R168" s="87"/>
      <c r="S168" s="54"/>
      <c r="T168" s="191"/>
      <c r="U168" s="230"/>
      <c r="V168" s="189"/>
      <c r="W168" s="190"/>
      <c r="X168" s="191"/>
      <c r="Y168" s="230"/>
      <c r="Z168" s="189"/>
      <c r="AA168" s="190"/>
      <c r="AB168" s="191"/>
      <c r="AC168" s="230"/>
      <c r="AD168" s="189"/>
      <c r="AE168" s="190"/>
    </row>
    <row r="169" spans="1:31" ht="12" thickTop="1">
      <c r="A169" s="347"/>
      <c r="B169" s="179" t="s">
        <v>268</v>
      </c>
      <c r="C169" s="93"/>
      <c r="D169" s="93"/>
      <c r="E169" s="93"/>
      <c r="F169" s="93"/>
      <c r="G169" s="93"/>
      <c r="H169" s="485">
        <f>H88+H90+H91+H92+H117+H142+H167</f>
        <v>932091</v>
      </c>
      <c r="I169" s="447">
        <f>I88+I90+I91+I92+I117+I142+I167</f>
        <v>469590</v>
      </c>
      <c r="J169" s="447">
        <f>J88+J90+J91+J92+J117+J142+J167</f>
        <v>481955</v>
      </c>
      <c r="K169" s="486">
        <f>K88+K90+K91+K92+K117+K142+K167</f>
        <v>1883636</v>
      </c>
      <c r="L169" s="416" t="s">
        <v>213</v>
      </c>
      <c r="M169" s="424">
        <f>M91+M109+M134+M159</f>
        <v>43610</v>
      </c>
      <c r="N169" s="365">
        <f>O169/M169</f>
        <v>43.19275395551479</v>
      </c>
      <c r="O169" s="104">
        <f>O88+O90+O91+O92+O117+O142+O167</f>
        <v>1883636</v>
      </c>
      <c r="P169" s="441" t="s">
        <v>213</v>
      </c>
      <c r="Q169" s="424">
        <f>Q91+Q109+Q134+Q159</f>
        <v>43610</v>
      </c>
      <c r="R169" s="365">
        <f>S169/Q169</f>
        <v>43.19275395551479</v>
      </c>
      <c r="S169" s="160">
        <f>S88+S90+S91+S92+S117+S142+S167</f>
        <v>1883636</v>
      </c>
      <c r="T169" s="238" t="s">
        <v>213</v>
      </c>
      <c r="U169" s="239">
        <f>U91+U109+U134+U159</f>
        <v>43610</v>
      </c>
      <c r="V169" s="448">
        <f>W169/U169</f>
        <v>44.34967897271268</v>
      </c>
      <c r="W169" s="241">
        <f>W88+W90+W91+W92+W117+W142+W167</f>
        <v>1934089.5</v>
      </c>
      <c r="X169" s="238" t="s">
        <v>213</v>
      </c>
      <c r="Y169" s="239">
        <f>Y91+Y109+Y134+Y159</f>
        <v>43610</v>
      </c>
      <c r="Z169" s="448">
        <f>AA169/Y169</f>
        <v>44.34967897271268</v>
      </c>
      <c r="AA169" s="241">
        <f>AA88+AA90+AA91+AA92+AA117+AA142+AA167</f>
        <v>1934089.5</v>
      </c>
      <c r="AB169" s="238" t="s">
        <v>213</v>
      </c>
      <c r="AC169" s="239">
        <f>AC91+AC109+AC134+AC159</f>
        <v>43610</v>
      </c>
      <c r="AD169" s="448">
        <f>AE169/AC169</f>
        <v>44.34967897271268</v>
      </c>
      <c r="AE169" s="241">
        <f>AE88+AE90+AE91+AE92+AE117+AE142+AE167</f>
        <v>1934089.5</v>
      </c>
    </row>
    <row r="170" spans="1:31" ht="12">
      <c r="A170" s="85"/>
      <c r="C170" s="7"/>
      <c r="D170" s="7"/>
      <c r="E170" s="7"/>
      <c r="F170" s="7"/>
      <c r="H170" s="478"/>
      <c r="I170" s="87"/>
      <c r="J170" s="87"/>
      <c r="K170" s="480"/>
      <c r="L170" s="159"/>
      <c r="M170" s="56"/>
      <c r="N170" s="87"/>
      <c r="O170" s="32"/>
      <c r="P170" s="124"/>
      <c r="Q170" s="113"/>
      <c r="R170" s="189"/>
      <c r="S170" s="36"/>
      <c r="T170" s="191"/>
      <c r="U170" s="113"/>
      <c r="V170" s="100"/>
      <c r="W170" s="36"/>
      <c r="X170" s="229"/>
      <c r="Y170" s="113"/>
      <c r="Z170" s="100"/>
      <c r="AA170" s="36"/>
      <c r="AB170" s="229"/>
      <c r="AC170" s="113"/>
      <c r="AD170" s="100"/>
      <c r="AE170" s="36"/>
    </row>
    <row r="171" spans="1:31" ht="12">
      <c r="A171" s="85">
        <v>3</v>
      </c>
      <c r="B171" s="21" t="s">
        <v>109</v>
      </c>
      <c r="C171" s="21"/>
      <c r="D171" s="21"/>
      <c r="E171" s="21"/>
      <c r="F171" s="21"/>
      <c r="H171" s="478"/>
      <c r="I171" s="87"/>
      <c r="J171" s="87"/>
      <c r="K171" s="480"/>
      <c r="L171" s="159"/>
      <c r="M171" s="56"/>
      <c r="N171" s="87"/>
      <c r="O171" s="32"/>
      <c r="P171" s="124"/>
      <c r="Q171" s="113"/>
      <c r="R171" s="189"/>
      <c r="S171" s="101"/>
      <c r="T171" s="191"/>
      <c r="U171" s="113"/>
      <c r="V171" s="113"/>
      <c r="W171" s="101"/>
      <c r="X171" s="229"/>
      <c r="Y171" s="113"/>
      <c r="Z171" s="113"/>
      <c r="AA171" s="101"/>
      <c r="AB171" s="229"/>
      <c r="AC171" s="113"/>
      <c r="AD171" s="113"/>
      <c r="AE171" s="101"/>
    </row>
    <row r="172" spans="1:31" ht="11.25">
      <c r="A172" s="85" t="s">
        <v>28</v>
      </c>
      <c r="B172" s="98" t="s">
        <v>244</v>
      </c>
      <c r="C172" s="98"/>
      <c r="H172" s="478"/>
      <c r="I172" s="87"/>
      <c r="J172" s="87"/>
      <c r="K172" s="480"/>
      <c r="L172" s="159"/>
      <c r="M172" s="56"/>
      <c r="N172" s="87"/>
      <c r="O172" s="32"/>
      <c r="P172" s="89"/>
      <c r="Q172" s="84"/>
      <c r="R172" s="87"/>
      <c r="S172" s="33"/>
      <c r="T172" s="191"/>
      <c r="U172" s="113"/>
      <c r="V172" s="189"/>
      <c r="W172" s="36"/>
      <c r="X172" s="229"/>
      <c r="Y172" s="113"/>
      <c r="Z172" s="189"/>
      <c r="AA172" s="36"/>
      <c r="AB172" s="229"/>
      <c r="AC172" s="113"/>
      <c r="AD172" s="189"/>
      <c r="AE172" s="36"/>
    </row>
    <row r="173" spans="1:31" ht="11.25">
      <c r="A173" s="85"/>
      <c r="C173" s="15" t="s">
        <v>10</v>
      </c>
      <c r="H173" s="478"/>
      <c r="I173" s="87"/>
      <c r="J173" s="87"/>
      <c r="K173" s="480"/>
      <c r="L173" s="159"/>
      <c r="M173" s="56"/>
      <c r="N173" s="87"/>
      <c r="O173" s="32"/>
      <c r="P173" s="89"/>
      <c r="Q173" s="84"/>
      <c r="R173" s="86"/>
      <c r="S173" s="33"/>
      <c r="T173" s="191"/>
      <c r="U173" s="113"/>
      <c r="V173" s="192"/>
      <c r="W173" s="36"/>
      <c r="X173" s="229"/>
      <c r="Y173" s="113"/>
      <c r="Z173" s="192"/>
      <c r="AA173" s="36"/>
      <c r="AB173" s="229"/>
      <c r="AC173" s="113"/>
      <c r="AD173" s="192"/>
      <c r="AE173" s="36"/>
    </row>
    <row r="174" spans="1:31" ht="11.25">
      <c r="A174" s="85" t="s">
        <v>269</v>
      </c>
      <c r="D174" s="15" t="s">
        <v>11</v>
      </c>
      <c r="H174" s="478">
        <f>1503+1262+1235+367</f>
        <v>4367</v>
      </c>
      <c r="I174" s="87">
        <f>2884+2163</f>
        <v>5047</v>
      </c>
      <c r="J174" s="87">
        <v>0</v>
      </c>
      <c r="K174" s="480">
        <f>H174+I174+J174</f>
        <v>9414</v>
      </c>
      <c r="L174" s="159" t="s">
        <v>213</v>
      </c>
      <c r="M174" s="56">
        <v>8700</v>
      </c>
      <c r="N174" s="107">
        <f>O174/M174</f>
        <v>1.0820689655172413</v>
      </c>
      <c r="O174" s="32">
        <f>K174</f>
        <v>9414</v>
      </c>
      <c r="P174" s="89" t="s">
        <v>213</v>
      </c>
      <c r="Q174" s="56">
        <v>8700</v>
      </c>
      <c r="R174" s="107">
        <f>S174/Q174</f>
        <v>1.0820689655172413</v>
      </c>
      <c r="S174" s="88">
        <f>O174</f>
        <v>9414</v>
      </c>
      <c r="T174" s="191" t="s">
        <v>213</v>
      </c>
      <c r="U174" s="230">
        <v>8700</v>
      </c>
      <c r="V174" s="242">
        <f>W174/U174</f>
        <v>1.0820689655172413</v>
      </c>
      <c r="W174" s="190">
        <f>S174</f>
        <v>9414</v>
      </c>
      <c r="X174" s="229" t="s">
        <v>213</v>
      </c>
      <c r="Y174" s="230">
        <v>8700</v>
      </c>
      <c r="Z174" s="242">
        <v>1.0820689655172413</v>
      </c>
      <c r="AA174" s="190">
        <v>9414</v>
      </c>
      <c r="AB174" s="229" t="s">
        <v>213</v>
      </c>
      <c r="AC174" s="230">
        <v>8700</v>
      </c>
      <c r="AD174" s="242">
        <v>1.0820689655172413</v>
      </c>
      <c r="AE174" s="190">
        <v>9414</v>
      </c>
    </row>
    <row r="175" spans="1:31" ht="11.25">
      <c r="A175" s="85" t="s">
        <v>270</v>
      </c>
      <c r="D175" s="15" t="s">
        <v>12</v>
      </c>
      <c r="H175" s="478"/>
      <c r="I175" s="87"/>
      <c r="J175" s="87"/>
      <c r="K175" s="480"/>
      <c r="L175" s="159"/>
      <c r="M175" s="56"/>
      <c r="N175" s="87"/>
      <c r="O175" s="32"/>
      <c r="P175" s="89"/>
      <c r="Q175" s="56"/>
      <c r="R175" s="87"/>
      <c r="S175" s="88"/>
      <c r="T175" s="191"/>
      <c r="U175" s="322"/>
      <c r="V175" s="189"/>
      <c r="W175" s="190"/>
      <c r="X175" s="229"/>
      <c r="Y175" s="322"/>
      <c r="Z175" s="189"/>
      <c r="AA175" s="190"/>
      <c r="AB175" s="229"/>
      <c r="AC175" s="322"/>
      <c r="AD175" s="189"/>
      <c r="AE175" s="190"/>
    </row>
    <row r="176" spans="1:31" ht="11.25">
      <c r="A176" s="85" t="s">
        <v>421</v>
      </c>
      <c r="D176" s="15" t="s">
        <v>13</v>
      </c>
      <c r="H176" s="481"/>
      <c r="I176" s="84"/>
      <c r="J176" s="84"/>
      <c r="K176" s="482"/>
      <c r="L176" s="159"/>
      <c r="M176" s="56"/>
      <c r="N176" s="107"/>
      <c r="O176" s="32"/>
      <c r="P176" s="89"/>
      <c r="Q176" s="56"/>
      <c r="R176" s="107"/>
      <c r="S176" s="88"/>
      <c r="T176" s="191"/>
      <c r="U176" s="230"/>
      <c r="V176" s="242"/>
      <c r="W176" s="190"/>
      <c r="X176" s="229"/>
      <c r="Y176" s="230"/>
      <c r="Z176" s="242"/>
      <c r="AA176" s="190"/>
      <c r="AB176" s="229"/>
      <c r="AC176" s="230"/>
      <c r="AD176" s="242"/>
      <c r="AE176" s="190"/>
    </row>
    <row r="177" spans="1:31" ht="11.25">
      <c r="A177" s="85" t="s">
        <v>422</v>
      </c>
      <c r="D177" s="15" t="s">
        <v>14</v>
      </c>
      <c r="H177" s="478">
        <f>1191+361</f>
        <v>1552</v>
      </c>
      <c r="I177" s="87">
        <v>0</v>
      </c>
      <c r="J177" s="87">
        <f>1496+488</f>
        <v>1984</v>
      </c>
      <c r="K177" s="480">
        <f>H177+I177+J177</f>
        <v>3536</v>
      </c>
      <c r="L177" s="159" t="s">
        <v>213</v>
      </c>
      <c r="M177" s="56">
        <v>1450</v>
      </c>
      <c r="N177" s="107">
        <f>O177/M177</f>
        <v>2.4386206896551723</v>
      </c>
      <c r="O177" s="32">
        <f>K177</f>
        <v>3536</v>
      </c>
      <c r="P177" s="159" t="s">
        <v>213</v>
      </c>
      <c r="Q177" s="56">
        <v>1450</v>
      </c>
      <c r="R177" s="107">
        <f>S177/Q177</f>
        <v>2.4386206896551723</v>
      </c>
      <c r="S177" s="32">
        <f>O177</f>
        <v>3536</v>
      </c>
      <c r="T177" s="159" t="s">
        <v>213</v>
      </c>
      <c r="U177" s="56">
        <f>Q177*2</f>
        <v>2900</v>
      </c>
      <c r="V177" s="107">
        <f>R177*2</f>
        <v>4.877241379310345</v>
      </c>
      <c r="W177" s="32">
        <f>U177*V177</f>
        <v>14144</v>
      </c>
      <c r="X177" s="229" t="s">
        <v>213</v>
      </c>
      <c r="Y177" s="230">
        <v>2900</v>
      </c>
      <c r="Z177" s="242">
        <v>4.877241379310345</v>
      </c>
      <c r="AA177" s="190">
        <v>14144</v>
      </c>
      <c r="AB177" s="229" t="s">
        <v>213</v>
      </c>
      <c r="AC177" s="230">
        <v>2900</v>
      </c>
      <c r="AD177" s="242">
        <v>4.877241379310345</v>
      </c>
      <c r="AE177" s="190">
        <v>14144</v>
      </c>
    </row>
    <row r="178" spans="1:31" ht="11.25">
      <c r="A178" s="85"/>
      <c r="C178" s="15" t="s">
        <v>15</v>
      </c>
      <c r="H178" s="478"/>
      <c r="I178" s="87"/>
      <c r="J178" s="87"/>
      <c r="K178" s="480"/>
      <c r="L178" s="159"/>
      <c r="M178" s="56"/>
      <c r="N178" s="87"/>
      <c r="O178" s="32"/>
      <c r="P178" s="89"/>
      <c r="Q178" s="56"/>
      <c r="R178" s="86"/>
      <c r="S178" s="33"/>
      <c r="T178" s="191"/>
      <c r="U178" s="230"/>
      <c r="V178" s="192"/>
      <c r="W178" s="36"/>
      <c r="X178" s="229"/>
      <c r="Y178" s="230"/>
      <c r="Z178" s="192"/>
      <c r="AA178" s="36"/>
      <c r="AB178" s="229"/>
      <c r="AC178" s="230"/>
      <c r="AD178" s="192"/>
      <c r="AE178" s="36"/>
    </row>
    <row r="179" spans="1:31" ht="11.25">
      <c r="A179" s="85" t="s">
        <v>423</v>
      </c>
      <c r="D179" s="15" t="s">
        <v>11</v>
      </c>
      <c r="H179" s="478"/>
      <c r="I179" s="87"/>
      <c r="J179" s="87"/>
      <c r="K179" s="480"/>
      <c r="L179" s="159"/>
      <c r="M179" s="56"/>
      <c r="N179" s="87"/>
      <c r="O179" s="32"/>
      <c r="P179" s="89"/>
      <c r="Q179" s="56"/>
      <c r="R179" s="86"/>
      <c r="S179" s="33"/>
      <c r="T179" s="191"/>
      <c r="U179" s="230"/>
      <c r="V179" s="192"/>
      <c r="W179" s="36"/>
      <c r="X179" s="229"/>
      <c r="Y179" s="230"/>
      <c r="Z179" s="192"/>
      <c r="AA179" s="36"/>
      <c r="AB179" s="229"/>
      <c r="AC179" s="230"/>
      <c r="AD179" s="192"/>
      <c r="AE179" s="36"/>
    </row>
    <row r="180" spans="1:31" ht="11.25">
      <c r="A180" s="85" t="s">
        <v>424</v>
      </c>
      <c r="D180" s="15" t="s">
        <v>12</v>
      </c>
      <c r="H180" s="478"/>
      <c r="I180" s="87"/>
      <c r="J180" s="87"/>
      <c r="K180" s="480"/>
      <c r="L180" s="159"/>
      <c r="M180" s="56"/>
      <c r="N180" s="87"/>
      <c r="O180" s="32"/>
      <c r="P180" s="89"/>
      <c r="Q180" s="56"/>
      <c r="R180" s="96"/>
      <c r="S180" s="33"/>
      <c r="T180" s="191"/>
      <c r="U180" s="230"/>
      <c r="V180" s="100"/>
      <c r="W180" s="36"/>
      <c r="X180" s="229"/>
      <c r="Y180" s="230"/>
      <c r="Z180" s="100"/>
      <c r="AA180" s="36"/>
      <c r="AB180" s="229"/>
      <c r="AC180" s="230"/>
      <c r="AD180" s="100"/>
      <c r="AE180" s="36"/>
    </row>
    <row r="181" spans="1:31" ht="11.25">
      <c r="A181" s="85" t="s">
        <v>425</v>
      </c>
      <c r="D181" s="15" t="s">
        <v>13</v>
      </c>
      <c r="H181" s="478"/>
      <c r="I181" s="87"/>
      <c r="J181" s="87"/>
      <c r="K181" s="480"/>
      <c r="L181" s="159"/>
      <c r="M181" s="56"/>
      <c r="N181" s="87"/>
      <c r="O181" s="32"/>
      <c r="P181" s="89"/>
      <c r="Q181" s="56"/>
      <c r="R181" s="86"/>
      <c r="S181" s="33"/>
      <c r="T181" s="191"/>
      <c r="U181" s="230"/>
      <c r="V181" s="192"/>
      <c r="W181" s="36"/>
      <c r="X181" s="229"/>
      <c r="Y181" s="230"/>
      <c r="Z181" s="192"/>
      <c r="AA181" s="36"/>
      <c r="AB181" s="229"/>
      <c r="AC181" s="230"/>
      <c r="AD181" s="192"/>
      <c r="AE181" s="36"/>
    </row>
    <row r="182" spans="1:31" ht="11.25">
      <c r="A182" s="85" t="s">
        <v>426</v>
      </c>
      <c r="D182" s="15" t="s">
        <v>14</v>
      </c>
      <c r="H182" s="478"/>
      <c r="I182" s="87"/>
      <c r="J182" s="87"/>
      <c r="K182" s="480"/>
      <c r="L182" s="159"/>
      <c r="M182" s="56"/>
      <c r="N182" s="87"/>
      <c r="O182" s="32"/>
      <c r="P182" s="89"/>
      <c r="Q182" s="56"/>
      <c r="R182" s="86"/>
      <c r="S182" s="33"/>
      <c r="T182" s="191"/>
      <c r="U182" s="230"/>
      <c r="V182" s="192"/>
      <c r="W182" s="36"/>
      <c r="X182" s="229"/>
      <c r="Y182" s="230"/>
      <c r="Z182" s="192"/>
      <c r="AA182" s="36"/>
      <c r="AB182" s="229"/>
      <c r="AC182" s="230"/>
      <c r="AD182" s="192"/>
      <c r="AE182" s="36"/>
    </row>
    <row r="183" spans="1:31" ht="11.25">
      <c r="A183" s="85"/>
      <c r="C183" s="15" t="s">
        <v>16</v>
      </c>
      <c r="H183" s="478">
        <f>SUM(H173:H182)</f>
        <v>5919</v>
      </c>
      <c r="I183" s="87">
        <f>SUM(I173:I182)</f>
        <v>5047</v>
      </c>
      <c r="J183" s="87">
        <f>SUM(J173:J182)</f>
        <v>1984</v>
      </c>
      <c r="K183" s="480">
        <f>H183+I183+J183</f>
        <v>12950</v>
      </c>
      <c r="L183" s="159" t="s">
        <v>213</v>
      </c>
      <c r="M183" s="56">
        <f>M174</f>
        <v>8700</v>
      </c>
      <c r="N183" s="107">
        <f>O183/M183</f>
        <v>1.4885057471264367</v>
      </c>
      <c r="O183" s="32">
        <f>SUM(O173:O182)</f>
        <v>12950</v>
      </c>
      <c r="P183" s="89" t="s">
        <v>213</v>
      </c>
      <c r="Q183" s="56">
        <f>Q174</f>
        <v>8700</v>
      </c>
      <c r="R183" s="107">
        <f>S183/Q183</f>
        <v>1.4885057471264367</v>
      </c>
      <c r="S183" s="88">
        <f>SUM(S173:S182)</f>
        <v>12950</v>
      </c>
      <c r="T183" s="191" t="s">
        <v>213</v>
      </c>
      <c r="U183" s="230">
        <f>U174</f>
        <v>8700</v>
      </c>
      <c r="V183" s="242">
        <f>W183/U183</f>
        <v>2.707816091954023</v>
      </c>
      <c r="W183" s="190">
        <f>SUM(W173:W182)</f>
        <v>23558</v>
      </c>
      <c r="X183" s="229" t="s">
        <v>213</v>
      </c>
      <c r="Y183" s="230">
        <f>Y174</f>
        <v>8700</v>
      </c>
      <c r="Z183" s="242">
        <f>AA183/Y183</f>
        <v>2.707816091954023</v>
      </c>
      <c r="AA183" s="190">
        <f>SUM(AA173:AA182)</f>
        <v>23558</v>
      </c>
      <c r="AB183" s="229" t="s">
        <v>213</v>
      </c>
      <c r="AC183" s="230">
        <f>AC174</f>
        <v>8700</v>
      </c>
      <c r="AD183" s="242">
        <f>AE183/AC183</f>
        <v>2.707816091954023</v>
      </c>
      <c r="AE183" s="190">
        <f>SUM(AE173:AE182)</f>
        <v>23558</v>
      </c>
    </row>
    <row r="184" spans="1:31" ht="11.25">
      <c r="A184" s="85"/>
      <c r="C184" s="15" t="s">
        <v>10</v>
      </c>
      <c r="H184" s="478"/>
      <c r="I184" s="87"/>
      <c r="J184" s="87"/>
      <c r="K184" s="480"/>
      <c r="L184" s="159"/>
      <c r="M184" s="56"/>
      <c r="N184" s="87"/>
      <c r="O184" s="32"/>
      <c r="P184" s="89"/>
      <c r="Q184" s="56"/>
      <c r="R184" s="86"/>
      <c r="S184" s="33"/>
      <c r="T184" s="191"/>
      <c r="U184" s="230"/>
      <c r="V184" s="192"/>
      <c r="W184" s="36"/>
      <c r="X184" s="229"/>
      <c r="Y184" s="230"/>
      <c r="Z184" s="192"/>
      <c r="AA184" s="36"/>
      <c r="AB184" s="229"/>
      <c r="AC184" s="230"/>
      <c r="AD184" s="192"/>
      <c r="AE184" s="36"/>
    </row>
    <row r="185" spans="1:31" ht="11.25">
      <c r="A185" s="85" t="s">
        <v>427</v>
      </c>
      <c r="D185" s="15" t="s">
        <v>17</v>
      </c>
      <c r="H185" s="478"/>
      <c r="I185" s="87"/>
      <c r="J185" s="87"/>
      <c r="K185" s="480"/>
      <c r="L185" s="159"/>
      <c r="M185" s="56"/>
      <c r="N185" s="87"/>
      <c r="O185" s="32"/>
      <c r="P185" s="89"/>
      <c r="Q185" s="56"/>
      <c r="R185" s="96"/>
      <c r="S185" s="33"/>
      <c r="T185" s="191"/>
      <c r="U185" s="230"/>
      <c r="V185" s="100"/>
      <c r="W185" s="36"/>
      <c r="X185" s="229"/>
      <c r="Y185" s="230"/>
      <c r="Z185" s="100"/>
      <c r="AA185" s="36"/>
      <c r="AB185" s="229"/>
      <c r="AC185" s="230"/>
      <c r="AD185" s="100"/>
      <c r="AE185" s="36"/>
    </row>
    <row r="186" spans="1:31" ht="11.25">
      <c r="A186" s="85" t="s">
        <v>428</v>
      </c>
      <c r="D186" s="15" t="s">
        <v>18</v>
      </c>
      <c r="H186" s="478">
        <v>595</v>
      </c>
      <c r="I186" s="87">
        <v>476</v>
      </c>
      <c r="J186" s="87">
        <v>261</v>
      </c>
      <c r="K186" s="480">
        <f>H186+I186+J186</f>
        <v>1332</v>
      </c>
      <c r="L186" s="159" t="s">
        <v>214</v>
      </c>
      <c r="M186" s="56">
        <v>8700</v>
      </c>
      <c r="N186" s="107">
        <f>O186/M186</f>
        <v>0.15310344827586206</v>
      </c>
      <c r="O186" s="32">
        <f>K186</f>
        <v>1332</v>
      </c>
      <c r="P186" s="89" t="s">
        <v>214</v>
      </c>
      <c r="Q186" s="56">
        <v>8700</v>
      </c>
      <c r="R186" s="107">
        <f>S186/Q186</f>
        <v>0.15310344827586206</v>
      </c>
      <c r="S186" s="88">
        <f>O186</f>
        <v>1332</v>
      </c>
      <c r="T186" s="191" t="s">
        <v>214</v>
      </c>
      <c r="U186" s="230">
        <v>8700</v>
      </c>
      <c r="V186" s="242">
        <v>0.31</v>
      </c>
      <c r="W186" s="190">
        <f>U186*V186</f>
        <v>2697</v>
      </c>
      <c r="X186" s="229" t="s">
        <v>214</v>
      </c>
      <c r="Y186" s="230">
        <v>8700</v>
      </c>
      <c r="Z186" s="242">
        <v>0.31</v>
      </c>
      <c r="AA186" s="190">
        <v>2697</v>
      </c>
      <c r="AB186" s="229" t="s">
        <v>214</v>
      </c>
      <c r="AC186" s="230">
        <v>8700</v>
      </c>
      <c r="AD186" s="242">
        <v>0.31</v>
      </c>
      <c r="AE186" s="190">
        <v>2697</v>
      </c>
    </row>
    <row r="187" spans="1:31" ht="11.25">
      <c r="A187" s="85"/>
      <c r="C187" s="15" t="s">
        <v>15</v>
      </c>
      <c r="H187" s="478"/>
      <c r="I187" s="87"/>
      <c r="J187" s="87"/>
      <c r="K187" s="480"/>
      <c r="L187" s="159"/>
      <c r="M187" s="56"/>
      <c r="N187" s="87"/>
      <c r="O187" s="32"/>
      <c r="P187" s="89"/>
      <c r="Q187" s="56"/>
      <c r="R187" s="96"/>
      <c r="S187" s="33"/>
      <c r="T187" s="191"/>
      <c r="U187" s="230"/>
      <c r="V187" s="100"/>
      <c r="W187" s="36"/>
      <c r="X187" s="229"/>
      <c r="Y187" s="230"/>
      <c r="Z187" s="100"/>
      <c r="AA187" s="36"/>
      <c r="AB187" s="229"/>
      <c r="AC187" s="230"/>
      <c r="AD187" s="100"/>
      <c r="AE187" s="36"/>
    </row>
    <row r="188" spans="1:31" ht="11.25">
      <c r="A188" s="85" t="s">
        <v>429</v>
      </c>
      <c r="D188" s="15" t="s">
        <v>17</v>
      </c>
      <c r="H188" s="478"/>
      <c r="I188" s="87"/>
      <c r="J188" s="87"/>
      <c r="K188" s="480"/>
      <c r="L188" s="159"/>
      <c r="M188" s="56"/>
      <c r="N188" s="87"/>
      <c r="O188" s="32"/>
      <c r="P188" s="89"/>
      <c r="Q188" s="56"/>
      <c r="R188" s="96"/>
      <c r="S188" s="33"/>
      <c r="T188" s="191"/>
      <c r="U188" s="230"/>
      <c r="V188" s="100"/>
      <c r="W188" s="36"/>
      <c r="X188" s="229"/>
      <c r="Y188" s="230"/>
      <c r="Z188" s="100"/>
      <c r="AA188" s="36"/>
      <c r="AB188" s="229"/>
      <c r="AC188" s="230"/>
      <c r="AD188" s="100"/>
      <c r="AE188" s="36"/>
    </row>
    <row r="189" spans="1:31" ht="11.25">
      <c r="A189" s="85" t="s">
        <v>430</v>
      </c>
      <c r="D189" s="15" t="s">
        <v>19</v>
      </c>
      <c r="H189" s="481"/>
      <c r="I189" s="87"/>
      <c r="J189" s="87"/>
      <c r="K189" s="480"/>
      <c r="L189" s="159"/>
      <c r="M189" s="56"/>
      <c r="N189" s="87"/>
      <c r="O189" s="32"/>
      <c r="P189" s="89"/>
      <c r="Q189" s="56"/>
      <c r="R189" s="96"/>
      <c r="S189" s="33"/>
      <c r="T189" s="191"/>
      <c r="U189" s="230"/>
      <c r="V189" s="100"/>
      <c r="W189" s="36"/>
      <c r="X189" s="229"/>
      <c r="Y189" s="230"/>
      <c r="Z189" s="100"/>
      <c r="AA189" s="36"/>
      <c r="AB189" s="229"/>
      <c r="AC189" s="230"/>
      <c r="AD189" s="100"/>
      <c r="AE189" s="36"/>
    </row>
    <row r="190" spans="1:31" ht="11.25">
      <c r="A190" s="85"/>
      <c r="C190" s="15" t="s">
        <v>20</v>
      </c>
      <c r="H190" s="478">
        <f>SUM(H184:H189)</f>
        <v>595</v>
      </c>
      <c r="I190" s="87">
        <f>SUM(I184:I189)</f>
        <v>476</v>
      </c>
      <c r="J190" s="87">
        <f>SUM(J184:J189)</f>
        <v>261</v>
      </c>
      <c r="K190" s="480">
        <f>H190+I190+J190</f>
        <v>1332</v>
      </c>
      <c r="L190" s="159" t="s">
        <v>214</v>
      </c>
      <c r="M190" s="56">
        <f>M186</f>
        <v>8700</v>
      </c>
      <c r="N190" s="107">
        <f>O190/M190</f>
        <v>0.15310344827586206</v>
      </c>
      <c r="O190" s="32">
        <f>SUM(O184:O189)</f>
        <v>1332</v>
      </c>
      <c r="P190" s="89" t="s">
        <v>214</v>
      </c>
      <c r="Q190" s="56">
        <f>Q186</f>
        <v>8700</v>
      </c>
      <c r="R190" s="107">
        <f>S190/Q190</f>
        <v>0.15310344827586206</v>
      </c>
      <c r="S190" s="88">
        <f>SUM(S184:S189)</f>
        <v>1332</v>
      </c>
      <c r="T190" s="191" t="s">
        <v>214</v>
      </c>
      <c r="U190" s="230">
        <f>U186</f>
        <v>8700</v>
      </c>
      <c r="V190" s="242">
        <f>W190/U190</f>
        <v>0.31</v>
      </c>
      <c r="W190" s="190">
        <f>SUM(W184:W189)</f>
        <v>2697</v>
      </c>
      <c r="X190" s="229" t="s">
        <v>214</v>
      </c>
      <c r="Y190" s="230">
        <f>Y186</f>
        <v>8700</v>
      </c>
      <c r="Z190" s="242">
        <f>AA190/Y190</f>
        <v>0.31</v>
      </c>
      <c r="AA190" s="190">
        <f>SUM(AA184:AA189)</f>
        <v>2697</v>
      </c>
      <c r="AB190" s="229" t="s">
        <v>214</v>
      </c>
      <c r="AC190" s="230">
        <f>AC186</f>
        <v>8700</v>
      </c>
      <c r="AD190" s="242">
        <f>AE190/AC190</f>
        <v>0.31</v>
      </c>
      <c r="AE190" s="190">
        <f>SUM(AE184:AE189)</f>
        <v>2697</v>
      </c>
    </row>
    <row r="191" spans="1:31" ht="11.25">
      <c r="A191" s="85"/>
      <c r="B191" s="15" t="s">
        <v>245</v>
      </c>
      <c r="H191" s="478">
        <f>H183+H190</f>
        <v>6514</v>
      </c>
      <c r="I191" s="87">
        <f>I183+I190</f>
        <v>5523</v>
      </c>
      <c r="J191" s="87">
        <f>J183+J190</f>
        <v>2245</v>
      </c>
      <c r="K191" s="480">
        <f>K183+K190</f>
        <v>14282</v>
      </c>
      <c r="L191" s="159" t="s">
        <v>213</v>
      </c>
      <c r="M191" s="56">
        <f>M183</f>
        <v>8700</v>
      </c>
      <c r="N191" s="107">
        <f>O191/M191</f>
        <v>1.6416091954022989</v>
      </c>
      <c r="O191" s="32">
        <f>O183+O190</f>
        <v>14282</v>
      </c>
      <c r="P191" s="89" t="s">
        <v>213</v>
      </c>
      <c r="Q191" s="56">
        <f>Q183</f>
        <v>8700</v>
      </c>
      <c r="R191" s="107">
        <f>S191/Q191</f>
        <v>1.6416091954022989</v>
      </c>
      <c r="S191" s="88">
        <f>S183+S190</f>
        <v>14282</v>
      </c>
      <c r="T191" s="191" t="s">
        <v>213</v>
      </c>
      <c r="U191" s="230">
        <f>U183</f>
        <v>8700</v>
      </c>
      <c r="V191" s="242">
        <f>W191/U191</f>
        <v>3.017816091954023</v>
      </c>
      <c r="W191" s="190">
        <f>W183+W190</f>
        <v>26255</v>
      </c>
      <c r="X191" s="229" t="s">
        <v>213</v>
      </c>
      <c r="Y191" s="230">
        <f>Y183</f>
        <v>8700</v>
      </c>
      <c r="Z191" s="242">
        <f>AA191/Y191</f>
        <v>3.017816091954023</v>
      </c>
      <c r="AA191" s="190">
        <f>AA183+AA190</f>
        <v>26255</v>
      </c>
      <c r="AB191" s="229" t="s">
        <v>213</v>
      </c>
      <c r="AC191" s="230">
        <f>AC183</f>
        <v>8700</v>
      </c>
      <c r="AD191" s="242">
        <f>AE191/AC191</f>
        <v>3.017816091954023</v>
      </c>
      <c r="AE191" s="190">
        <f>AE183+AE190</f>
        <v>26255</v>
      </c>
    </row>
    <row r="192" spans="1:31" ht="11.25">
      <c r="A192" s="85"/>
      <c r="H192" s="478"/>
      <c r="I192" s="87"/>
      <c r="J192" s="87"/>
      <c r="K192" s="480"/>
      <c r="L192" s="159"/>
      <c r="M192" s="56"/>
      <c r="N192" s="87"/>
      <c r="O192" s="32"/>
      <c r="P192" s="89"/>
      <c r="Q192" s="84"/>
      <c r="R192" s="96"/>
      <c r="S192" s="33"/>
      <c r="T192" s="191"/>
      <c r="U192" s="113"/>
      <c r="V192" s="100"/>
      <c r="W192" s="36"/>
      <c r="X192" s="229"/>
      <c r="Y192" s="113"/>
      <c r="Z192" s="100"/>
      <c r="AA192" s="36"/>
      <c r="AB192" s="229"/>
      <c r="AC192" s="113"/>
      <c r="AD192" s="100"/>
      <c r="AE192" s="36"/>
    </row>
    <row r="193" spans="1:31" ht="11.25">
      <c r="A193" s="85" t="s">
        <v>29</v>
      </c>
      <c r="B193" s="98" t="s">
        <v>281</v>
      </c>
      <c r="C193" s="98"/>
      <c r="H193" s="478"/>
      <c r="I193" s="87"/>
      <c r="J193" s="87"/>
      <c r="K193" s="480"/>
      <c r="L193" s="159"/>
      <c r="M193" s="56"/>
      <c r="N193" s="87"/>
      <c r="O193" s="32"/>
      <c r="P193" s="89"/>
      <c r="Q193" s="84"/>
      <c r="R193" s="87"/>
      <c r="S193" s="33"/>
      <c r="T193" s="191"/>
      <c r="U193" s="113"/>
      <c r="V193" s="189"/>
      <c r="W193" s="36"/>
      <c r="X193" s="229"/>
      <c r="Y193" s="113"/>
      <c r="Z193" s="189"/>
      <c r="AA193" s="36"/>
      <c r="AB193" s="229"/>
      <c r="AC193" s="113"/>
      <c r="AD193" s="189"/>
      <c r="AE193" s="36"/>
    </row>
    <row r="194" spans="1:31" ht="11.25">
      <c r="A194" s="85"/>
      <c r="C194" s="15" t="s">
        <v>31</v>
      </c>
      <c r="H194" s="481"/>
      <c r="I194" s="84"/>
      <c r="J194" s="84"/>
      <c r="K194" s="482"/>
      <c r="L194" s="159"/>
      <c r="M194" s="56"/>
      <c r="N194" s="87"/>
      <c r="O194" s="32"/>
      <c r="P194" s="89"/>
      <c r="Q194" s="84"/>
      <c r="R194" s="87"/>
      <c r="S194" s="33"/>
      <c r="T194" s="191"/>
      <c r="U194" s="113"/>
      <c r="V194" s="189"/>
      <c r="W194" s="36"/>
      <c r="X194" s="229"/>
      <c r="Y194" s="113"/>
      <c r="Z194" s="189"/>
      <c r="AA194" s="36"/>
      <c r="AB194" s="229"/>
      <c r="AC194" s="113"/>
      <c r="AD194" s="189"/>
      <c r="AE194" s="36"/>
    </row>
    <row r="195" spans="1:31" ht="11.25">
      <c r="A195" s="85" t="s">
        <v>431</v>
      </c>
      <c r="D195" s="15" t="s">
        <v>177</v>
      </c>
      <c r="H195" s="478">
        <f>342+5703+5215+1159+3476+4346+541</f>
        <v>20782</v>
      </c>
      <c r="I195" s="87">
        <f>94+1563+2443+543+1628+2036+703</f>
        <v>9010</v>
      </c>
      <c r="J195" s="87">
        <v>0</v>
      </c>
      <c r="K195" s="480">
        <f>H195+I195+J195</f>
        <v>29792</v>
      </c>
      <c r="L195" s="159" t="s">
        <v>208</v>
      </c>
      <c r="M195" s="56">
        <v>7</v>
      </c>
      <c r="N195" s="87">
        <f>O195/M195</f>
        <v>4256</v>
      </c>
      <c r="O195" s="32">
        <f>K195</f>
        <v>29792</v>
      </c>
      <c r="P195" s="89" t="s">
        <v>208</v>
      </c>
      <c r="Q195" s="56">
        <v>7</v>
      </c>
      <c r="R195" s="87">
        <f>S195/Q195</f>
        <v>4256</v>
      </c>
      <c r="S195" s="88">
        <f>O195</f>
        <v>29792</v>
      </c>
      <c r="T195" s="89" t="s">
        <v>208</v>
      </c>
      <c r="U195" s="56">
        <v>7</v>
      </c>
      <c r="V195" s="87">
        <f>W195/U195</f>
        <v>4256</v>
      </c>
      <c r="W195" s="88">
        <f>S195</f>
        <v>29792</v>
      </c>
      <c r="X195" s="229" t="s">
        <v>208</v>
      </c>
      <c r="Y195" s="230">
        <v>7</v>
      </c>
      <c r="Z195" s="189">
        <v>4256</v>
      </c>
      <c r="AA195" s="190">
        <v>29792</v>
      </c>
      <c r="AB195" s="229" t="s">
        <v>208</v>
      </c>
      <c r="AC195" s="230">
        <v>7</v>
      </c>
      <c r="AD195" s="189">
        <v>4256</v>
      </c>
      <c r="AE195" s="190">
        <v>29792</v>
      </c>
    </row>
    <row r="196" spans="1:31" ht="11.25">
      <c r="A196" s="85" t="s">
        <v>432</v>
      </c>
      <c r="D196" s="15" t="s">
        <v>178</v>
      </c>
      <c r="H196" s="478"/>
      <c r="I196" s="87"/>
      <c r="J196" s="87"/>
      <c r="K196" s="480"/>
      <c r="L196" s="159"/>
      <c r="M196" s="56"/>
      <c r="N196" s="87"/>
      <c r="O196" s="32"/>
      <c r="P196" s="89"/>
      <c r="Q196" s="56"/>
      <c r="R196" s="87"/>
      <c r="S196" s="88"/>
      <c r="T196" s="89"/>
      <c r="U196" s="56"/>
      <c r="V196" s="87"/>
      <c r="W196" s="88"/>
      <c r="X196" s="229"/>
      <c r="Y196" s="230"/>
      <c r="Z196" s="189"/>
      <c r="AA196" s="190"/>
      <c r="AB196" s="229"/>
      <c r="AC196" s="230"/>
      <c r="AD196" s="189"/>
      <c r="AE196" s="190"/>
    </row>
    <row r="197" spans="1:31" ht="11.25">
      <c r="A197" s="85"/>
      <c r="C197" s="15" t="s">
        <v>10</v>
      </c>
      <c r="H197" s="478"/>
      <c r="I197" s="87"/>
      <c r="J197" s="87"/>
      <c r="K197" s="480"/>
      <c r="L197" s="159"/>
      <c r="M197" s="56"/>
      <c r="N197" s="87"/>
      <c r="O197" s="32"/>
      <c r="P197" s="89"/>
      <c r="Q197" s="56"/>
      <c r="R197" s="87"/>
      <c r="S197" s="88"/>
      <c r="T197" s="89"/>
      <c r="U197" s="56"/>
      <c r="V197" s="87"/>
      <c r="W197" s="88"/>
      <c r="X197" s="229"/>
      <c r="Y197" s="230"/>
      <c r="Z197" s="189"/>
      <c r="AA197" s="190"/>
      <c r="AB197" s="229"/>
      <c r="AC197" s="230"/>
      <c r="AD197" s="189"/>
      <c r="AE197" s="190"/>
    </row>
    <row r="198" spans="1:31" ht="11.25">
      <c r="A198" s="85" t="s">
        <v>433</v>
      </c>
      <c r="D198" s="15" t="s">
        <v>11</v>
      </c>
      <c r="H198" s="478">
        <f>346+4631+4937+2938</f>
        <v>12852</v>
      </c>
      <c r="I198" s="87">
        <f>359+6489+6901+2161</f>
        <v>15910</v>
      </c>
      <c r="J198" s="87">
        <v>0</v>
      </c>
      <c r="K198" s="480">
        <f>H198+I198+J198</f>
        <v>28762</v>
      </c>
      <c r="L198" s="159" t="s">
        <v>213</v>
      </c>
      <c r="M198" s="56">
        <f>37+12000+400</f>
        <v>12437</v>
      </c>
      <c r="N198" s="107">
        <f>O198/M198</f>
        <v>2.3126155825359813</v>
      </c>
      <c r="O198" s="32">
        <f>K198</f>
        <v>28762</v>
      </c>
      <c r="P198" s="89" t="s">
        <v>213</v>
      </c>
      <c r="Q198" s="56">
        <f>37+12000+400</f>
        <v>12437</v>
      </c>
      <c r="R198" s="107">
        <f>S198/Q198</f>
        <v>2.3126155825359813</v>
      </c>
      <c r="S198" s="88">
        <f>O198</f>
        <v>28762</v>
      </c>
      <c r="T198" s="89" t="s">
        <v>213</v>
      </c>
      <c r="U198" s="56">
        <f>37+12000+400</f>
        <v>12437</v>
      </c>
      <c r="V198" s="107">
        <f>W198/U198</f>
        <v>2.3126155825359813</v>
      </c>
      <c r="W198" s="88">
        <f>S198</f>
        <v>28762</v>
      </c>
      <c r="X198" s="229" t="s">
        <v>213</v>
      </c>
      <c r="Y198" s="230">
        <v>12437</v>
      </c>
      <c r="Z198" s="242">
        <v>2.3126155825359813</v>
      </c>
      <c r="AA198" s="190">
        <v>28762</v>
      </c>
      <c r="AB198" s="229" t="s">
        <v>213</v>
      </c>
      <c r="AC198" s="230">
        <v>12437</v>
      </c>
      <c r="AD198" s="242">
        <v>2.3126155825359813</v>
      </c>
      <c r="AE198" s="190">
        <v>28762</v>
      </c>
    </row>
    <row r="199" spans="1:31" ht="11.25">
      <c r="A199" s="85" t="s">
        <v>434</v>
      </c>
      <c r="D199" s="15" t="s">
        <v>12</v>
      </c>
      <c r="H199" s="478"/>
      <c r="I199" s="87"/>
      <c r="J199" s="87"/>
      <c r="K199" s="480"/>
      <c r="L199" s="159"/>
      <c r="M199" s="56"/>
      <c r="N199" s="87"/>
      <c r="O199" s="32"/>
      <c r="P199" s="89"/>
      <c r="Q199" s="56"/>
      <c r="R199" s="87"/>
      <c r="S199" s="88"/>
      <c r="T199" s="89"/>
      <c r="U199" s="56"/>
      <c r="V199" s="87"/>
      <c r="W199" s="88"/>
      <c r="X199" s="229"/>
      <c r="Y199" s="322"/>
      <c r="Z199" s="189"/>
      <c r="AA199" s="190"/>
      <c r="AB199" s="229"/>
      <c r="AC199" s="322"/>
      <c r="AD199" s="189"/>
      <c r="AE199" s="190"/>
    </row>
    <row r="200" spans="1:31" ht="11.25">
      <c r="A200" s="85" t="s">
        <v>435</v>
      </c>
      <c r="D200" s="15" t="s">
        <v>13</v>
      </c>
      <c r="H200" s="478"/>
      <c r="I200" s="87"/>
      <c r="J200" s="87"/>
      <c r="K200" s="480"/>
      <c r="L200" s="159"/>
      <c r="M200" s="56"/>
      <c r="N200" s="87"/>
      <c r="O200" s="32"/>
      <c r="P200" s="89"/>
      <c r="Q200" s="56"/>
      <c r="R200" s="86"/>
      <c r="S200" s="33"/>
      <c r="T200" s="89"/>
      <c r="U200" s="56"/>
      <c r="V200" s="86"/>
      <c r="W200" s="33"/>
      <c r="X200" s="229"/>
      <c r="Y200" s="230"/>
      <c r="Z200" s="192"/>
      <c r="AA200" s="36"/>
      <c r="AB200" s="229"/>
      <c r="AC200" s="230"/>
      <c r="AD200" s="192"/>
      <c r="AE200" s="36"/>
    </row>
    <row r="201" spans="1:31" ht="11.25">
      <c r="A201" s="85" t="s">
        <v>436</v>
      </c>
      <c r="D201" s="15" t="s">
        <v>14</v>
      </c>
      <c r="H201" s="478"/>
      <c r="I201" s="87"/>
      <c r="J201" s="87"/>
      <c r="K201" s="480"/>
      <c r="L201" s="159"/>
      <c r="M201" s="56"/>
      <c r="N201" s="87"/>
      <c r="O201" s="32"/>
      <c r="P201" s="89"/>
      <c r="Q201" s="56"/>
      <c r="R201" s="86"/>
      <c r="S201" s="33"/>
      <c r="T201" s="89"/>
      <c r="U201" s="56"/>
      <c r="V201" s="86"/>
      <c r="W201" s="33"/>
      <c r="X201" s="229"/>
      <c r="Y201" s="230"/>
      <c r="Z201" s="192"/>
      <c r="AA201" s="36"/>
      <c r="AB201" s="229"/>
      <c r="AC201" s="230"/>
      <c r="AD201" s="192"/>
      <c r="AE201" s="36"/>
    </row>
    <row r="202" spans="1:31" ht="11.25">
      <c r="A202" s="85"/>
      <c r="C202" s="15" t="s">
        <v>15</v>
      </c>
      <c r="H202" s="478"/>
      <c r="I202" s="87"/>
      <c r="J202" s="87"/>
      <c r="K202" s="480"/>
      <c r="L202" s="159"/>
      <c r="M202" s="56"/>
      <c r="N202" s="87"/>
      <c r="O202" s="32"/>
      <c r="P202" s="89"/>
      <c r="Q202" s="56"/>
      <c r="R202" s="86"/>
      <c r="S202" s="33"/>
      <c r="T202" s="89"/>
      <c r="U202" s="56"/>
      <c r="V202" s="86"/>
      <c r="W202" s="33"/>
      <c r="X202" s="229"/>
      <c r="Y202" s="230"/>
      <c r="Z202" s="192"/>
      <c r="AA202" s="36"/>
      <c r="AB202" s="229"/>
      <c r="AC202" s="230"/>
      <c r="AD202" s="192"/>
      <c r="AE202" s="36"/>
    </row>
    <row r="203" spans="1:31" ht="11.25">
      <c r="A203" s="85" t="s">
        <v>437</v>
      </c>
      <c r="D203" s="15" t="s">
        <v>11</v>
      </c>
      <c r="H203" s="478"/>
      <c r="I203" s="87"/>
      <c r="J203" s="87"/>
      <c r="K203" s="480"/>
      <c r="L203" s="159"/>
      <c r="M203" s="56"/>
      <c r="N203" s="87"/>
      <c r="O203" s="32"/>
      <c r="P203" s="89"/>
      <c r="Q203" s="56"/>
      <c r="R203" s="86"/>
      <c r="S203" s="33"/>
      <c r="T203" s="89"/>
      <c r="U203" s="56"/>
      <c r="V203" s="86"/>
      <c r="W203" s="33"/>
      <c r="X203" s="229"/>
      <c r="Y203" s="230"/>
      <c r="Z203" s="192"/>
      <c r="AA203" s="36"/>
      <c r="AB203" s="229"/>
      <c r="AC203" s="230"/>
      <c r="AD203" s="192"/>
      <c r="AE203" s="36"/>
    </row>
    <row r="204" spans="1:31" ht="11.25">
      <c r="A204" s="85" t="s">
        <v>438</v>
      </c>
      <c r="D204" s="15" t="s">
        <v>12</v>
      </c>
      <c r="H204" s="478"/>
      <c r="I204" s="87"/>
      <c r="J204" s="87"/>
      <c r="K204" s="480"/>
      <c r="L204" s="159"/>
      <c r="M204" s="56"/>
      <c r="N204" s="87"/>
      <c r="O204" s="32"/>
      <c r="P204" s="89"/>
      <c r="Q204" s="56"/>
      <c r="R204" s="96"/>
      <c r="S204" s="33"/>
      <c r="T204" s="89"/>
      <c r="U204" s="56"/>
      <c r="V204" s="96"/>
      <c r="W204" s="33"/>
      <c r="X204" s="229"/>
      <c r="Y204" s="230"/>
      <c r="Z204" s="100"/>
      <c r="AA204" s="36"/>
      <c r="AB204" s="229"/>
      <c r="AC204" s="230"/>
      <c r="AD204" s="100"/>
      <c r="AE204" s="36"/>
    </row>
    <row r="205" spans="1:31" ht="11.25">
      <c r="A205" s="85" t="s">
        <v>439</v>
      </c>
      <c r="D205" s="15" t="s">
        <v>13</v>
      </c>
      <c r="H205" s="478"/>
      <c r="I205" s="87"/>
      <c r="J205" s="87"/>
      <c r="K205" s="480"/>
      <c r="L205" s="159"/>
      <c r="M205" s="56"/>
      <c r="N205" s="87"/>
      <c r="O205" s="32"/>
      <c r="P205" s="89"/>
      <c r="Q205" s="56"/>
      <c r="R205" s="86"/>
      <c r="S205" s="33"/>
      <c r="T205" s="89"/>
      <c r="U205" s="56"/>
      <c r="V205" s="86"/>
      <c r="W205" s="33"/>
      <c r="X205" s="229"/>
      <c r="Y205" s="230"/>
      <c r="Z205" s="192"/>
      <c r="AA205" s="36"/>
      <c r="AB205" s="229"/>
      <c r="AC205" s="230"/>
      <c r="AD205" s="192"/>
      <c r="AE205" s="36"/>
    </row>
    <row r="206" spans="1:31" ht="11.25">
      <c r="A206" s="85" t="s">
        <v>440</v>
      </c>
      <c r="D206" s="15" t="s">
        <v>14</v>
      </c>
      <c r="H206" s="478"/>
      <c r="I206" s="87"/>
      <c r="J206" s="87"/>
      <c r="K206" s="480"/>
      <c r="L206" s="159"/>
      <c r="M206" s="56"/>
      <c r="N206" s="87"/>
      <c r="O206" s="32"/>
      <c r="P206" s="89"/>
      <c r="Q206" s="56"/>
      <c r="R206" s="86"/>
      <c r="S206" s="33"/>
      <c r="T206" s="89"/>
      <c r="U206" s="56"/>
      <c r="V206" s="86"/>
      <c r="W206" s="33"/>
      <c r="X206" s="229"/>
      <c r="Y206" s="230"/>
      <c r="Z206" s="192"/>
      <c r="AA206" s="36"/>
      <c r="AB206" s="229"/>
      <c r="AC206" s="230"/>
      <c r="AD206" s="192"/>
      <c r="AE206" s="36"/>
    </row>
    <row r="207" spans="1:31" ht="11.25">
      <c r="A207" s="85"/>
      <c r="C207" s="15" t="s">
        <v>16</v>
      </c>
      <c r="H207" s="478">
        <f>SUM(H197:H206)</f>
        <v>12852</v>
      </c>
      <c r="I207" s="87">
        <f>SUM(I197:I206)</f>
        <v>15910</v>
      </c>
      <c r="J207" s="87">
        <f>SUM(J197:J206)</f>
        <v>0</v>
      </c>
      <c r="K207" s="480">
        <f>H207+I207+J207</f>
        <v>28762</v>
      </c>
      <c r="L207" s="159" t="s">
        <v>213</v>
      </c>
      <c r="M207" s="56">
        <f>M198</f>
        <v>12437</v>
      </c>
      <c r="N207" s="107">
        <f>O207/M207</f>
        <v>2.3126155825359813</v>
      </c>
      <c r="O207" s="32">
        <f>SUM(O197:O206)</f>
        <v>28762</v>
      </c>
      <c r="P207" s="89" t="s">
        <v>213</v>
      </c>
      <c r="Q207" s="56">
        <f>Q198</f>
        <v>12437</v>
      </c>
      <c r="R207" s="107">
        <f>S207/Q207</f>
        <v>2.3126155825359813</v>
      </c>
      <c r="S207" s="88">
        <f>SUM(S197:S206)</f>
        <v>28762</v>
      </c>
      <c r="T207" s="89" t="s">
        <v>213</v>
      </c>
      <c r="U207" s="56">
        <f>U198</f>
        <v>12437</v>
      </c>
      <c r="V207" s="107">
        <f>W207/U207</f>
        <v>2.3126155825359813</v>
      </c>
      <c r="W207" s="88">
        <f>SUM(W197:W206)</f>
        <v>28762</v>
      </c>
      <c r="X207" s="229" t="s">
        <v>213</v>
      </c>
      <c r="Y207" s="230">
        <f>Y198</f>
        <v>12437</v>
      </c>
      <c r="Z207" s="242">
        <f>AA207/Y207</f>
        <v>2.3126155825359813</v>
      </c>
      <c r="AA207" s="190">
        <f>SUM(AA197:AA206)</f>
        <v>28762</v>
      </c>
      <c r="AB207" s="229" t="s">
        <v>213</v>
      </c>
      <c r="AC207" s="230">
        <f>AC198</f>
        <v>12437</v>
      </c>
      <c r="AD207" s="242">
        <f>AE207/AC207</f>
        <v>2.3126155825359813</v>
      </c>
      <c r="AE207" s="190">
        <f>SUM(AE197:AE206)</f>
        <v>28762</v>
      </c>
    </row>
    <row r="208" spans="1:31" ht="11.25">
      <c r="A208" s="85"/>
      <c r="C208" s="15" t="s">
        <v>10</v>
      </c>
      <c r="H208" s="478"/>
      <c r="I208" s="87"/>
      <c r="J208" s="87"/>
      <c r="K208" s="480"/>
      <c r="L208" s="159"/>
      <c r="M208" s="56"/>
      <c r="N208" s="87"/>
      <c r="O208" s="32"/>
      <c r="P208" s="89"/>
      <c r="Q208" s="56"/>
      <c r="R208" s="86"/>
      <c r="S208" s="33"/>
      <c r="T208" s="191"/>
      <c r="U208" s="230"/>
      <c r="V208" s="192"/>
      <c r="W208" s="36"/>
      <c r="X208" s="229"/>
      <c r="Y208" s="230"/>
      <c r="Z208" s="192"/>
      <c r="AA208" s="36"/>
      <c r="AB208" s="229"/>
      <c r="AC208" s="230"/>
      <c r="AD208" s="192"/>
      <c r="AE208" s="36"/>
    </row>
    <row r="209" spans="1:31" ht="11.25">
      <c r="A209" s="85" t="s">
        <v>441</v>
      </c>
      <c r="D209" s="15" t="s">
        <v>17</v>
      </c>
      <c r="H209" s="478"/>
      <c r="I209" s="87"/>
      <c r="J209" s="87"/>
      <c r="K209" s="480"/>
      <c r="L209" s="159"/>
      <c r="M209" s="56"/>
      <c r="N209" s="87"/>
      <c r="O209" s="32"/>
      <c r="P209" s="89"/>
      <c r="Q209" s="56"/>
      <c r="R209" s="96"/>
      <c r="S209" s="33"/>
      <c r="T209" s="191"/>
      <c r="U209" s="230"/>
      <c r="V209" s="100"/>
      <c r="W209" s="36"/>
      <c r="X209" s="229"/>
      <c r="Y209" s="230"/>
      <c r="Z209" s="100"/>
      <c r="AA209" s="36"/>
      <c r="AB209" s="229"/>
      <c r="AC209" s="230"/>
      <c r="AD209" s="100"/>
      <c r="AE209" s="36"/>
    </row>
    <row r="210" spans="1:31" ht="11.25">
      <c r="A210" s="85" t="s">
        <v>442</v>
      </c>
      <c r="D210" s="15" t="s">
        <v>18</v>
      </c>
      <c r="H210" s="478"/>
      <c r="I210" s="87"/>
      <c r="J210" s="87"/>
      <c r="K210" s="480"/>
      <c r="L210" s="159"/>
      <c r="M210" s="56"/>
      <c r="N210" s="87"/>
      <c r="O210" s="32"/>
      <c r="P210" s="89"/>
      <c r="Q210" s="56"/>
      <c r="R210" s="87"/>
      <c r="S210" s="33"/>
      <c r="T210" s="191" t="s">
        <v>214</v>
      </c>
      <c r="U210" s="230">
        <v>9680</v>
      </c>
      <c r="V210" s="242">
        <v>0.31</v>
      </c>
      <c r="W210" s="36">
        <f>U210*V210</f>
        <v>3000.8</v>
      </c>
      <c r="X210" s="229" t="s">
        <v>214</v>
      </c>
      <c r="Y210" s="230">
        <v>9680</v>
      </c>
      <c r="Z210" s="242">
        <v>0.31</v>
      </c>
      <c r="AA210" s="36">
        <v>3000.8</v>
      </c>
      <c r="AB210" s="229" t="s">
        <v>214</v>
      </c>
      <c r="AC210" s="230">
        <v>9680</v>
      </c>
      <c r="AD210" s="242">
        <v>0.31</v>
      </c>
      <c r="AE210" s="36">
        <v>3000.8</v>
      </c>
    </row>
    <row r="211" spans="1:31" ht="11.25">
      <c r="A211" s="85"/>
      <c r="C211" s="15" t="s">
        <v>15</v>
      </c>
      <c r="H211" s="478"/>
      <c r="I211" s="87"/>
      <c r="J211" s="87"/>
      <c r="K211" s="480"/>
      <c r="L211" s="159"/>
      <c r="M211" s="56"/>
      <c r="N211" s="87"/>
      <c r="O211" s="32"/>
      <c r="P211" s="89"/>
      <c r="Q211" s="56"/>
      <c r="R211" s="96"/>
      <c r="S211" s="33"/>
      <c r="T211" s="191"/>
      <c r="U211" s="230"/>
      <c r="V211" s="100"/>
      <c r="W211" s="36"/>
      <c r="X211" s="229"/>
      <c r="Y211" s="230"/>
      <c r="Z211" s="100"/>
      <c r="AA211" s="36"/>
      <c r="AB211" s="229"/>
      <c r="AC211" s="230"/>
      <c r="AD211" s="100"/>
      <c r="AE211" s="36"/>
    </row>
    <row r="212" spans="1:31" ht="11.25">
      <c r="A212" s="85" t="s">
        <v>443</v>
      </c>
      <c r="D212" s="15" t="s">
        <v>17</v>
      </c>
      <c r="H212" s="478"/>
      <c r="I212" s="87"/>
      <c r="J212" s="87"/>
      <c r="K212" s="480"/>
      <c r="L212" s="159"/>
      <c r="M212" s="56"/>
      <c r="N212" s="87"/>
      <c r="O212" s="32"/>
      <c r="P212" s="89"/>
      <c r="Q212" s="56"/>
      <c r="R212" s="96"/>
      <c r="S212" s="33"/>
      <c r="T212" s="191"/>
      <c r="U212" s="230"/>
      <c r="V212" s="100"/>
      <c r="W212" s="36"/>
      <c r="X212" s="229"/>
      <c r="Y212" s="230"/>
      <c r="Z212" s="100"/>
      <c r="AA212" s="36"/>
      <c r="AB212" s="229"/>
      <c r="AC212" s="230"/>
      <c r="AD212" s="100"/>
      <c r="AE212" s="36"/>
    </row>
    <row r="213" spans="1:31" ht="11.25">
      <c r="A213" s="85" t="s">
        <v>444</v>
      </c>
      <c r="D213" s="15" t="s">
        <v>19</v>
      </c>
      <c r="H213" s="478"/>
      <c r="I213" s="87"/>
      <c r="J213" s="87"/>
      <c r="K213" s="480"/>
      <c r="L213" s="159"/>
      <c r="M213" s="56"/>
      <c r="N213" s="107"/>
      <c r="O213" s="32"/>
      <c r="P213" s="89"/>
      <c r="Q213" s="56"/>
      <c r="R213" s="96"/>
      <c r="S213" s="33"/>
      <c r="T213" s="191"/>
      <c r="U213" s="230"/>
      <c r="V213" s="100"/>
      <c r="W213" s="36"/>
      <c r="X213" s="229"/>
      <c r="Y213" s="230"/>
      <c r="Z213" s="100"/>
      <c r="AA213" s="36"/>
      <c r="AB213" s="229"/>
      <c r="AC213" s="230"/>
      <c r="AD213" s="100"/>
      <c r="AE213" s="36"/>
    </row>
    <row r="214" spans="1:31" ht="11.25">
      <c r="A214" s="85"/>
      <c r="C214" s="15" t="s">
        <v>20</v>
      </c>
      <c r="H214" s="478">
        <f>SUM(H208:H213)</f>
        <v>0</v>
      </c>
      <c r="I214" s="87">
        <f>SUM(I208:I213)</f>
        <v>0</v>
      </c>
      <c r="J214" s="87">
        <f>SUM(J208:J213)</f>
        <v>0</v>
      </c>
      <c r="K214" s="480">
        <f>H214+I214+J214</f>
        <v>0</v>
      </c>
      <c r="L214" s="159"/>
      <c r="M214" s="56"/>
      <c r="N214" s="107"/>
      <c r="O214" s="32">
        <f>SUM(O208:O213)</f>
        <v>0</v>
      </c>
      <c r="P214" s="89"/>
      <c r="Q214" s="56"/>
      <c r="R214" s="107"/>
      <c r="S214" s="88">
        <f>SUM(S208:S213)</f>
        <v>0</v>
      </c>
      <c r="T214" s="191" t="s">
        <v>214</v>
      </c>
      <c r="U214" s="230">
        <f>U210</f>
        <v>9680</v>
      </c>
      <c r="V214" s="242">
        <f>W214/U214</f>
        <v>0.31</v>
      </c>
      <c r="W214" s="190">
        <f>SUM(W208:W213)</f>
        <v>3000.8</v>
      </c>
      <c r="X214" s="229" t="s">
        <v>214</v>
      </c>
      <c r="Y214" s="230">
        <f>Y210</f>
        <v>9680</v>
      </c>
      <c r="Z214" s="242">
        <f>AA214/Y214</f>
        <v>0.31</v>
      </c>
      <c r="AA214" s="190">
        <f>SUM(AA208:AA213)</f>
        <v>3000.8</v>
      </c>
      <c r="AB214" s="229" t="s">
        <v>214</v>
      </c>
      <c r="AC214" s="230">
        <f>AC210</f>
        <v>9680</v>
      </c>
      <c r="AD214" s="242">
        <f>AE214/AC214</f>
        <v>0.31</v>
      </c>
      <c r="AE214" s="190">
        <f>SUM(AE208:AE213)</f>
        <v>3000.8</v>
      </c>
    </row>
    <row r="215" spans="1:31" ht="11.25">
      <c r="A215" s="85"/>
      <c r="B215" s="15" t="s">
        <v>282</v>
      </c>
      <c r="H215" s="478">
        <f>H195+H207+H214</f>
        <v>33634</v>
      </c>
      <c r="I215" s="87">
        <f>I195+I207+I214</f>
        <v>24920</v>
      </c>
      <c r="J215" s="87">
        <f>J195+J207+J214</f>
        <v>0</v>
      </c>
      <c r="K215" s="480">
        <f>K195+K207+K214</f>
        <v>58554</v>
      </c>
      <c r="L215" s="159" t="s">
        <v>213</v>
      </c>
      <c r="M215" s="56">
        <f>M207</f>
        <v>12437</v>
      </c>
      <c r="N215" s="107">
        <f>O215/M215</f>
        <v>4.708048564766423</v>
      </c>
      <c r="O215" s="32">
        <f>O195+O207+O214</f>
        <v>58554</v>
      </c>
      <c r="P215" s="89" t="s">
        <v>213</v>
      </c>
      <c r="Q215" s="56">
        <f>Q207</f>
        <v>12437</v>
      </c>
      <c r="R215" s="107">
        <f>S215/Q215</f>
        <v>4.708048564766423</v>
      </c>
      <c r="S215" s="88">
        <f>S195+S207+S214</f>
        <v>58554</v>
      </c>
      <c r="T215" s="191" t="s">
        <v>213</v>
      </c>
      <c r="U215" s="230">
        <f>U207</f>
        <v>12437</v>
      </c>
      <c r="V215" s="242">
        <f>W215/U215</f>
        <v>4.949328616225778</v>
      </c>
      <c r="W215" s="190">
        <f>W195+W207+W214</f>
        <v>61554.8</v>
      </c>
      <c r="X215" s="229" t="s">
        <v>213</v>
      </c>
      <c r="Y215" s="230">
        <f>Y207</f>
        <v>12437</v>
      </c>
      <c r="Z215" s="242">
        <f>AA215/Y215</f>
        <v>4.949328616225778</v>
      </c>
      <c r="AA215" s="190">
        <f>AA195+AA207+AA214</f>
        <v>61554.8</v>
      </c>
      <c r="AB215" s="229" t="s">
        <v>213</v>
      </c>
      <c r="AC215" s="230">
        <f>AC207</f>
        <v>12437</v>
      </c>
      <c r="AD215" s="242">
        <f>AE215/AC215</f>
        <v>4.949328616225778</v>
      </c>
      <c r="AE215" s="190">
        <f>AE195+AE207+AE214</f>
        <v>61554.8</v>
      </c>
    </row>
    <row r="216" spans="1:31" ht="11.25">
      <c r="A216" s="85"/>
      <c r="H216" s="478"/>
      <c r="I216" s="87"/>
      <c r="J216" s="87"/>
      <c r="K216" s="480"/>
      <c r="L216" s="159"/>
      <c r="M216" s="56"/>
      <c r="N216" s="87"/>
      <c r="O216" s="32"/>
      <c r="P216" s="89"/>
      <c r="Q216" s="56"/>
      <c r="R216" s="87"/>
      <c r="S216" s="88"/>
      <c r="T216" s="191"/>
      <c r="U216" s="230"/>
      <c r="V216" s="189"/>
      <c r="W216" s="190"/>
      <c r="X216" s="229"/>
      <c r="Y216" s="230"/>
      <c r="Z216" s="189"/>
      <c r="AA216" s="190"/>
      <c r="AB216" s="229"/>
      <c r="AC216" s="230"/>
      <c r="AD216" s="189"/>
      <c r="AE216" s="190"/>
    </row>
    <row r="217" spans="1:31" ht="11.25">
      <c r="A217" s="85" t="s">
        <v>30</v>
      </c>
      <c r="B217" s="98" t="s">
        <v>341</v>
      </c>
      <c r="C217" s="98"/>
      <c r="H217" s="478"/>
      <c r="I217" s="87"/>
      <c r="J217" s="87"/>
      <c r="K217" s="480"/>
      <c r="L217" s="159"/>
      <c r="M217" s="56"/>
      <c r="N217" s="87"/>
      <c r="O217" s="32"/>
      <c r="P217" s="89"/>
      <c r="Q217" s="84"/>
      <c r="R217" s="87"/>
      <c r="S217" s="33"/>
      <c r="T217" s="191"/>
      <c r="U217" s="113"/>
      <c r="V217" s="189"/>
      <c r="W217" s="36"/>
      <c r="X217" s="229"/>
      <c r="Y217" s="113"/>
      <c r="Z217" s="189"/>
      <c r="AA217" s="36"/>
      <c r="AB217" s="229"/>
      <c r="AC217" s="113"/>
      <c r="AD217" s="189"/>
      <c r="AE217" s="36"/>
    </row>
    <row r="218" spans="1:31" ht="11.25">
      <c r="A218" s="85" t="s">
        <v>445</v>
      </c>
      <c r="B218" s="98"/>
      <c r="C218" s="98" t="s">
        <v>343</v>
      </c>
      <c r="H218" s="478">
        <f>3822+2013</f>
        <v>5835</v>
      </c>
      <c r="I218" s="87">
        <f>4635+1475</f>
        <v>6110</v>
      </c>
      <c r="J218" s="87">
        <v>1500</v>
      </c>
      <c r="K218" s="480">
        <f>H218+I218+J218</f>
        <v>13445</v>
      </c>
      <c r="L218" s="159" t="s">
        <v>208</v>
      </c>
      <c r="M218" s="56">
        <v>3</v>
      </c>
      <c r="N218" s="87">
        <f>O218/M218</f>
        <v>4481.666666666667</v>
      </c>
      <c r="O218" s="32">
        <f>K218</f>
        <v>13445</v>
      </c>
      <c r="P218" s="89" t="s">
        <v>208</v>
      </c>
      <c r="Q218" s="56">
        <v>3</v>
      </c>
      <c r="R218" s="87">
        <f>S218/Q218</f>
        <v>4481.666666666667</v>
      </c>
      <c r="S218" s="88">
        <f>O218</f>
        <v>13445</v>
      </c>
      <c r="T218" s="191" t="s">
        <v>208</v>
      </c>
      <c r="U218" s="230">
        <v>3</v>
      </c>
      <c r="V218" s="189">
        <f>W218/U218</f>
        <v>4481.666666666667</v>
      </c>
      <c r="W218" s="190">
        <f>S218</f>
        <v>13445</v>
      </c>
      <c r="X218" s="229" t="s">
        <v>208</v>
      </c>
      <c r="Y218" s="230">
        <v>3</v>
      </c>
      <c r="Z218" s="189">
        <v>4481.666666666667</v>
      </c>
      <c r="AA218" s="190">
        <v>13445</v>
      </c>
      <c r="AB218" s="229" t="s">
        <v>208</v>
      </c>
      <c r="AC218" s="230">
        <v>3</v>
      </c>
      <c r="AD218" s="189">
        <v>4481.666666666667</v>
      </c>
      <c r="AE218" s="190">
        <v>13445</v>
      </c>
    </row>
    <row r="219" spans="1:31" ht="11.25">
      <c r="A219" s="85"/>
      <c r="C219" s="15" t="s">
        <v>10</v>
      </c>
      <c r="H219" s="478"/>
      <c r="I219" s="87"/>
      <c r="J219" s="87"/>
      <c r="K219" s="480"/>
      <c r="L219" s="159"/>
      <c r="M219" s="56"/>
      <c r="N219" s="87"/>
      <c r="O219" s="32"/>
      <c r="P219" s="89"/>
      <c r="Q219" s="56"/>
      <c r="R219" s="87"/>
      <c r="S219" s="88"/>
      <c r="T219" s="191"/>
      <c r="U219" s="230"/>
      <c r="V219" s="189"/>
      <c r="W219" s="190"/>
      <c r="X219" s="229"/>
      <c r="Y219" s="230"/>
      <c r="Z219" s="189"/>
      <c r="AA219" s="190"/>
      <c r="AB219" s="229"/>
      <c r="AC219" s="230"/>
      <c r="AD219" s="189"/>
      <c r="AE219" s="190"/>
    </row>
    <row r="220" spans="1:31" ht="11.25">
      <c r="A220" s="85" t="s">
        <v>446</v>
      </c>
      <c r="D220" s="15" t="s">
        <v>11</v>
      </c>
      <c r="H220" s="478">
        <f>2603+1829+570+975+105+240+421+195+31252+29930+14822+2096+1587+8712+26095+16708+15987+7996+2096</f>
        <v>164219</v>
      </c>
      <c r="I220" s="87">
        <f>4268+2678+612+461+721+59987+51294+1709+12257+21138+32070+27398</f>
        <v>214593</v>
      </c>
      <c r="J220" s="87">
        <v>330</v>
      </c>
      <c r="K220" s="480">
        <f>H220+I220+J220</f>
        <v>379142</v>
      </c>
      <c r="L220" s="159" t="s">
        <v>213</v>
      </c>
      <c r="M220" s="56">
        <f>9500+2500+187600+145+15000+100000</f>
        <v>314745</v>
      </c>
      <c r="N220" s="107">
        <f>O220/M220</f>
        <v>1.204600549651305</v>
      </c>
      <c r="O220" s="32">
        <f>K220</f>
        <v>379142</v>
      </c>
      <c r="P220" s="89" t="s">
        <v>213</v>
      </c>
      <c r="Q220" s="56">
        <f>9500+2500+187600+145+15000+100000</f>
        <v>314745</v>
      </c>
      <c r="R220" s="107">
        <f>S220/Q220</f>
        <v>1.204600549651305</v>
      </c>
      <c r="S220" s="88">
        <f>O220</f>
        <v>379142</v>
      </c>
      <c r="T220" s="191" t="s">
        <v>213</v>
      </c>
      <c r="U220" s="230">
        <f>9500+2500+187600+145+15000+100000</f>
        <v>314745</v>
      </c>
      <c r="V220" s="242">
        <f>W220/U220</f>
        <v>1.204600549651305</v>
      </c>
      <c r="W220" s="190">
        <f>S220</f>
        <v>379142</v>
      </c>
      <c r="X220" s="229" t="s">
        <v>213</v>
      </c>
      <c r="Y220" s="230">
        <v>314745</v>
      </c>
      <c r="Z220" s="242">
        <v>1.204600549651305</v>
      </c>
      <c r="AA220" s="190">
        <v>379142</v>
      </c>
      <c r="AB220" s="229" t="s">
        <v>213</v>
      </c>
      <c r="AC220" s="230">
        <v>314745</v>
      </c>
      <c r="AD220" s="242">
        <v>1.204600549651305</v>
      </c>
      <c r="AE220" s="190">
        <v>379142</v>
      </c>
    </row>
    <row r="221" spans="1:31" ht="11.25">
      <c r="A221" s="85" t="s">
        <v>447</v>
      </c>
      <c r="D221" s="15" t="s">
        <v>12</v>
      </c>
      <c r="H221" s="478"/>
      <c r="I221" s="87"/>
      <c r="J221" s="87"/>
      <c r="K221" s="480"/>
      <c r="L221" s="159"/>
      <c r="M221" s="56"/>
      <c r="N221" s="87"/>
      <c r="O221" s="32"/>
      <c r="P221" s="89"/>
      <c r="Q221" s="56"/>
      <c r="R221" s="87"/>
      <c r="S221" s="88"/>
      <c r="T221" s="191"/>
      <c r="U221" s="322"/>
      <c r="V221" s="189"/>
      <c r="W221" s="190"/>
      <c r="X221" s="229"/>
      <c r="Y221" s="322"/>
      <c r="Z221" s="189"/>
      <c r="AA221" s="190"/>
      <c r="AB221" s="229"/>
      <c r="AC221" s="322"/>
      <c r="AD221" s="189"/>
      <c r="AE221" s="190"/>
    </row>
    <row r="222" spans="1:31" ht="11.25">
      <c r="A222" s="85" t="s">
        <v>448</v>
      </c>
      <c r="D222" s="15" t="s">
        <v>13</v>
      </c>
      <c r="H222" s="478"/>
      <c r="I222" s="87"/>
      <c r="J222" s="87"/>
      <c r="K222" s="480"/>
      <c r="L222" s="159"/>
      <c r="M222" s="56"/>
      <c r="N222" s="87"/>
      <c r="O222" s="32"/>
      <c r="P222" s="89"/>
      <c r="Q222" s="56"/>
      <c r="R222" s="87"/>
      <c r="S222" s="88"/>
      <c r="T222" s="191"/>
      <c r="U222" s="230"/>
      <c r="V222" s="189"/>
      <c r="W222" s="190"/>
      <c r="X222" s="229"/>
      <c r="Y222" s="230"/>
      <c r="Z222" s="189"/>
      <c r="AA222" s="190"/>
      <c r="AB222" s="229"/>
      <c r="AC222" s="230"/>
      <c r="AD222" s="189"/>
      <c r="AE222" s="190"/>
    </row>
    <row r="223" spans="1:31" ht="11.25">
      <c r="A223" s="85" t="s">
        <v>449</v>
      </c>
      <c r="D223" s="15" t="s">
        <v>14</v>
      </c>
      <c r="H223" s="478"/>
      <c r="I223" s="87"/>
      <c r="J223" s="87"/>
      <c r="K223" s="480"/>
      <c r="L223" s="159"/>
      <c r="M223" s="56"/>
      <c r="N223" s="87"/>
      <c r="O223" s="32"/>
      <c r="P223" s="89"/>
      <c r="Q223" s="56"/>
      <c r="R223" s="87"/>
      <c r="S223" s="88"/>
      <c r="T223" s="191"/>
      <c r="U223" s="230"/>
      <c r="V223" s="189"/>
      <c r="W223" s="190"/>
      <c r="X223" s="229"/>
      <c r="Y223" s="230"/>
      <c r="Z223" s="189"/>
      <c r="AA223" s="190"/>
      <c r="AB223" s="229"/>
      <c r="AC223" s="230"/>
      <c r="AD223" s="189"/>
      <c r="AE223" s="190"/>
    </row>
    <row r="224" spans="1:31" ht="11.25">
      <c r="A224" s="85"/>
      <c r="C224" s="15" t="s">
        <v>15</v>
      </c>
      <c r="H224" s="478"/>
      <c r="I224" s="87"/>
      <c r="J224" s="87"/>
      <c r="K224" s="480"/>
      <c r="L224" s="159"/>
      <c r="M224" s="56"/>
      <c r="N224" s="87"/>
      <c r="O224" s="32"/>
      <c r="P224" s="89"/>
      <c r="Q224" s="56"/>
      <c r="R224" s="87"/>
      <c r="S224" s="88"/>
      <c r="T224" s="191"/>
      <c r="U224" s="230"/>
      <c r="V224" s="189"/>
      <c r="W224" s="190"/>
      <c r="X224" s="229"/>
      <c r="Y224" s="230"/>
      <c r="Z224" s="189"/>
      <c r="AA224" s="190"/>
      <c r="AB224" s="229"/>
      <c r="AC224" s="230"/>
      <c r="AD224" s="189"/>
      <c r="AE224" s="190"/>
    </row>
    <row r="225" spans="1:31" ht="11.25">
      <c r="A225" s="85" t="s">
        <v>450</v>
      </c>
      <c r="D225" s="15" t="s">
        <v>11</v>
      </c>
      <c r="H225" s="478"/>
      <c r="I225" s="87"/>
      <c r="J225" s="87"/>
      <c r="K225" s="480"/>
      <c r="L225" s="159"/>
      <c r="M225" s="56"/>
      <c r="N225" s="87"/>
      <c r="O225" s="32"/>
      <c r="P225" s="89"/>
      <c r="Q225" s="56"/>
      <c r="R225" s="87"/>
      <c r="S225" s="88"/>
      <c r="T225" s="191"/>
      <c r="U225" s="230"/>
      <c r="V225" s="189"/>
      <c r="W225" s="190"/>
      <c r="X225" s="229"/>
      <c r="Y225" s="230"/>
      <c r="Z225" s="189"/>
      <c r="AA225" s="190"/>
      <c r="AB225" s="229"/>
      <c r="AC225" s="230"/>
      <c r="AD225" s="189"/>
      <c r="AE225" s="190"/>
    </row>
    <row r="226" spans="1:31" ht="11.25">
      <c r="A226" s="85" t="s">
        <v>451</v>
      </c>
      <c r="D226" s="15" t="s">
        <v>12</v>
      </c>
      <c r="H226" s="478"/>
      <c r="I226" s="87"/>
      <c r="J226" s="87"/>
      <c r="K226" s="480"/>
      <c r="L226" s="159"/>
      <c r="M226" s="56"/>
      <c r="N226" s="87"/>
      <c r="O226" s="32"/>
      <c r="P226" s="89"/>
      <c r="Q226" s="56"/>
      <c r="R226" s="87"/>
      <c r="S226" s="88"/>
      <c r="T226" s="191"/>
      <c r="U226" s="230"/>
      <c r="V226" s="189"/>
      <c r="W226" s="190"/>
      <c r="X226" s="229"/>
      <c r="Y226" s="230"/>
      <c r="Z226" s="189"/>
      <c r="AA226" s="190"/>
      <c r="AB226" s="229"/>
      <c r="AC226" s="230"/>
      <c r="AD226" s="189"/>
      <c r="AE226" s="190"/>
    </row>
    <row r="227" spans="1:31" ht="11.25">
      <c r="A227" s="85" t="s">
        <v>452</v>
      </c>
      <c r="D227" s="15" t="s">
        <v>13</v>
      </c>
      <c r="H227" s="478"/>
      <c r="I227" s="87"/>
      <c r="J227" s="87"/>
      <c r="K227" s="480"/>
      <c r="L227" s="159"/>
      <c r="M227" s="56"/>
      <c r="N227" s="87"/>
      <c r="O227" s="32"/>
      <c r="P227" s="89"/>
      <c r="Q227" s="56"/>
      <c r="R227" s="86"/>
      <c r="S227" s="33"/>
      <c r="T227" s="191"/>
      <c r="U227" s="230"/>
      <c r="V227" s="192"/>
      <c r="W227" s="36"/>
      <c r="X227" s="229"/>
      <c r="Y227" s="230"/>
      <c r="Z227" s="192"/>
      <c r="AA227" s="36"/>
      <c r="AB227" s="229"/>
      <c r="AC227" s="230"/>
      <c r="AD227" s="192"/>
      <c r="AE227" s="36"/>
    </row>
    <row r="228" spans="1:31" ht="11.25">
      <c r="A228" s="85" t="s">
        <v>453</v>
      </c>
      <c r="D228" s="15" t="s">
        <v>14</v>
      </c>
      <c r="H228" s="478"/>
      <c r="I228" s="87"/>
      <c r="J228" s="87"/>
      <c r="K228" s="480"/>
      <c r="L228" s="159"/>
      <c r="M228" s="56"/>
      <c r="N228" s="87"/>
      <c r="O228" s="32"/>
      <c r="P228" s="89"/>
      <c r="Q228" s="56"/>
      <c r="R228" s="86"/>
      <c r="S228" s="33"/>
      <c r="T228" s="191"/>
      <c r="U228" s="230"/>
      <c r="V228" s="192"/>
      <c r="W228" s="36"/>
      <c r="X228" s="229"/>
      <c r="Y228" s="230"/>
      <c r="Z228" s="192"/>
      <c r="AA228" s="36"/>
      <c r="AB228" s="229"/>
      <c r="AC228" s="230"/>
      <c r="AD228" s="192"/>
      <c r="AE228" s="36"/>
    </row>
    <row r="229" spans="1:31" ht="11.25">
      <c r="A229" s="85"/>
      <c r="C229" s="15" t="s">
        <v>16</v>
      </c>
      <c r="H229" s="478">
        <f>SUM(H219:H228)</f>
        <v>164219</v>
      </c>
      <c r="I229" s="87">
        <f>SUM(I219:I228)</f>
        <v>214593</v>
      </c>
      <c r="J229" s="87">
        <f>SUM(J219:J228)</f>
        <v>330</v>
      </c>
      <c r="K229" s="480">
        <f>H229+I229+J229</f>
        <v>379142</v>
      </c>
      <c r="L229" s="159" t="s">
        <v>213</v>
      </c>
      <c r="M229" s="56">
        <f>M220</f>
        <v>314745</v>
      </c>
      <c r="N229" s="107">
        <f>O229/M229</f>
        <v>1.204600549651305</v>
      </c>
      <c r="O229" s="32">
        <f>K229</f>
        <v>379142</v>
      </c>
      <c r="P229" s="89" t="s">
        <v>213</v>
      </c>
      <c r="Q229" s="56">
        <v>314745</v>
      </c>
      <c r="R229" s="107">
        <v>1.204600549651305</v>
      </c>
      <c r="S229" s="88">
        <v>379142</v>
      </c>
      <c r="T229" s="191" t="s">
        <v>213</v>
      </c>
      <c r="U229" s="230">
        <v>314745</v>
      </c>
      <c r="V229" s="242">
        <v>1.204600549651305</v>
      </c>
      <c r="W229" s="190">
        <v>379142</v>
      </c>
      <c r="X229" s="229" t="s">
        <v>213</v>
      </c>
      <c r="Y229" s="230">
        <v>314745</v>
      </c>
      <c r="Z229" s="242">
        <v>1.204600549651305</v>
      </c>
      <c r="AA229" s="190">
        <v>379142</v>
      </c>
      <c r="AB229" s="229" t="s">
        <v>213</v>
      </c>
      <c r="AC229" s="230">
        <v>314745</v>
      </c>
      <c r="AD229" s="242">
        <v>1.204600549651305</v>
      </c>
      <c r="AE229" s="190">
        <v>379142</v>
      </c>
    </row>
    <row r="230" spans="1:31" ht="11.25">
      <c r="A230" s="85"/>
      <c r="C230" s="15" t="s">
        <v>10</v>
      </c>
      <c r="H230" s="478"/>
      <c r="I230" s="87"/>
      <c r="J230" s="87"/>
      <c r="K230" s="480"/>
      <c r="L230" s="159"/>
      <c r="M230" s="56"/>
      <c r="N230" s="87"/>
      <c r="O230" s="32"/>
      <c r="P230" s="89"/>
      <c r="Q230" s="56"/>
      <c r="R230" s="86"/>
      <c r="S230" s="33"/>
      <c r="T230" s="191"/>
      <c r="U230" s="230"/>
      <c r="V230" s="192"/>
      <c r="W230" s="36"/>
      <c r="X230" s="229"/>
      <c r="Y230" s="230"/>
      <c r="Z230" s="192"/>
      <c r="AA230" s="36"/>
      <c r="AB230" s="229"/>
      <c r="AC230" s="230"/>
      <c r="AD230" s="192"/>
      <c r="AE230" s="36"/>
    </row>
    <row r="231" spans="1:31" ht="11.25">
      <c r="A231" s="85" t="s">
        <v>454</v>
      </c>
      <c r="D231" s="15" t="s">
        <v>17</v>
      </c>
      <c r="H231" s="478"/>
      <c r="I231" s="87"/>
      <c r="J231" s="87"/>
      <c r="K231" s="480"/>
      <c r="L231" s="159"/>
      <c r="M231" s="56"/>
      <c r="N231" s="87"/>
      <c r="O231" s="32"/>
      <c r="P231" s="89"/>
      <c r="Q231" s="56"/>
      <c r="R231" s="96"/>
      <c r="S231" s="33"/>
      <c r="T231" s="191"/>
      <c r="U231" s="230"/>
      <c r="V231" s="100"/>
      <c r="W231" s="36"/>
      <c r="X231" s="229"/>
      <c r="Y231" s="230"/>
      <c r="Z231" s="100"/>
      <c r="AA231" s="36"/>
      <c r="AB231" s="229"/>
      <c r="AC231" s="230"/>
      <c r="AD231" s="100"/>
      <c r="AE231" s="36"/>
    </row>
    <row r="232" spans="1:31" ht="11.25">
      <c r="A232" s="85" t="s">
        <v>455</v>
      </c>
      <c r="D232" s="15" t="s">
        <v>18</v>
      </c>
      <c r="H232" s="478">
        <f>127+4330+108+1624</f>
        <v>6189</v>
      </c>
      <c r="I232" s="87">
        <f>87+87+3461+1298</f>
        <v>4933</v>
      </c>
      <c r="J232" s="87">
        <f>36+45+2040+750</f>
        <v>2871</v>
      </c>
      <c r="K232" s="480">
        <f>H232+I232+J232</f>
        <v>13993</v>
      </c>
      <c r="L232" s="159" t="s">
        <v>214</v>
      </c>
      <c r="M232" s="56">
        <f>1200+1500+68000+25000</f>
        <v>95700</v>
      </c>
      <c r="N232" s="107">
        <f>O232/M232</f>
        <v>0.14621734587251828</v>
      </c>
      <c r="O232" s="32">
        <f>K232</f>
        <v>13993</v>
      </c>
      <c r="P232" s="89" t="s">
        <v>214</v>
      </c>
      <c r="Q232" s="56">
        <f>1200+1500+68000+25000</f>
        <v>95700</v>
      </c>
      <c r="R232" s="107">
        <f>S232/Q232</f>
        <v>0.14621734587251828</v>
      </c>
      <c r="S232" s="88">
        <f>O232</f>
        <v>13993</v>
      </c>
      <c r="T232" s="191" t="s">
        <v>214</v>
      </c>
      <c r="U232" s="230">
        <f>1200+1500+68000+25000</f>
        <v>95700</v>
      </c>
      <c r="V232" s="242">
        <v>0.31</v>
      </c>
      <c r="W232" s="190">
        <f>U232*V232</f>
        <v>29667</v>
      </c>
      <c r="X232" s="229" t="s">
        <v>214</v>
      </c>
      <c r="Y232" s="230">
        <v>95700</v>
      </c>
      <c r="Z232" s="242">
        <v>0.31</v>
      </c>
      <c r="AA232" s="190">
        <v>29667</v>
      </c>
      <c r="AB232" s="229" t="s">
        <v>214</v>
      </c>
      <c r="AC232" s="230">
        <v>95700</v>
      </c>
      <c r="AD232" s="242">
        <v>0.31</v>
      </c>
      <c r="AE232" s="190">
        <v>29667</v>
      </c>
    </row>
    <row r="233" spans="1:31" ht="11.25">
      <c r="A233" s="85"/>
      <c r="C233" s="15" t="s">
        <v>15</v>
      </c>
      <c r="H233" s="478"/>
      <c r="I233" s="87"/>
      <c r="J233" s="87"/>
      <c r="K233" s="480"/>
      <c r="L233" s="159"/>
      <c r="M233" s="56"/>
      <c r="N233" s="87"/>
      <c r="O233" s="32"/>
      <c r="P233" s="89"/>
      <c r="Q233" s="56"/>
      <c r="R233" s="96"/>
      <c r="S233" s="33"/>
      <c r="T233" s="191"/>
      <c r="U233" s="230"/>
      <c r="V233" s="100"/>
      <c r="W233" s="36"/>
      <c r="X233" s="229"/>
      <c r="Y233" s="230"/>
      <c r="Z233" s="100"/>
      <c r="AA233" s="36"/>
      <c r="AB233" s="229"/>
      <c r="AC233" s="230"/>
      <c r="AD233" s="100"/>
      <c r="AE233" s="36"/>
    </row>
    <row r="234" spans="1:31" ht="11.25">
      <c r="A234" s="85" t="s">
        <v>456</v>
      </c>
      <c r="D234" s="15" t="s">
        <v>17</v>
      </c>
      <c r="H234" s="478"/>
      <c r="I234" s="87"/>
      <c r="J234" s="87"/>
      <c r="K234" s="480"/>
      <c r="L234" s="159"/>
      <c r="M234" s="56"/>
      <c r="N234" s="87"/>
      <c r="O234" s="32"/>
      <c r="P234" s="89"/>
      <c r="Q234" s="56"/>
      <c r="R234" s="96"/>
      <c r="S234" s="33"/>
      <c r="T234" s="191"/>
      <c r="U234" s="230"/>
      <c r="V234" s="100"/>
      <c r="W234" s="36"/>
      <c r="X234" s="229"/>
      <c r="Y234" s="230"/>
      <c r="Z234" s="100"/>
      <c r="AA234" s="36"/>
      <c r="AB234" s="229"/>
      <c r="AC234" s="230"/>
      <c r="AD234" s="100"/>
      <c r="AE234" s="36"/>
    </row>
    <row r="235" spans="1:31" ht="11.25">
      <c r="A235" s="85" t="s">
        <v>457</v>
      </c>
      <c r="D235" s="15" t="s">
        <v>19</v>
      </c>
      <c r="H235" s="481"/>
      <c r="I235" s="87"/>
      <c r="J235" s="87"/>
      <c r="K235" s="480"/>
      <c r="L235" s="159"/>
      <c r="M235" s="56"/>
      <c r="N235" s="87"/>
      <c r="O235" s="32"/>
      <c r="P235" s="89"/>
      <c r="Q235" s="56"/>
      <c r="R235" s="96"/>
      <c r="S235" s="33"/>
      <c r="T235" s="191"/>
      <c r="U235" s="230"/>
      <c r="V235" s="100"/>
      <c r="W235" s="36"/>
      <c r="X235" s="229"/>
      <c r="Y235" s="230"/>
      <c r="Z235" s="100"/>
      <c r="AA235" s="36"/>
      <c r="AB235" s="229"/>
      <c r="AC235" s="230"/>
      <c r="AD235" s="100"/>
      <c r="AE235" s="36"/>
    </row>
    <row r="236" spans="1:31" ht="11.25">
      <c r="A236" s="85"/>
      <c r="C236" s="15" t="s">
        <v>20</v>
      </c>
      <c r="H236" s="478">
        <f>SUM(H230:H235)</f>
        <v>6189</v>
      </c>
      <c r="I236" s="87">
        <f>SUM(I230:I235)</f>
        <v>4933</v>
      </c>
      <c r="J236" s="87">
        <f>SUM(J230:J235)</f>
        <v>2871</v>
      </c>
      <c r="K236" s="480">
        <f>H236+I236+J236</f>
        <v>13993</v>
      </c>
      <c r="L236" s="159" t="s">
        <v>214</v>
      </c>
      <c r="M236" s="56">
        <f>M232</f>
        <v>95700</v>
      </c>
      <c r="N236" s="107">
        <f>O236/M236</f>
        <v>0.14621734587251828</v>
      </c>
      <c r="O236" s="32">
        <f>K236</f>
        <v>13993</v>
      </c>
      <c r="P236" s="89" t="s">
        <v>214</v>
      </c>
      <c r="Q236" s="56">
        <f>Q232</f>
        <v>95700</v>
      </c>
      <c r="R236" s="107">
        <f>S236/Q236</f>
        <v>0.14621734587251828</v>
      </c>
      <c r="S236" s="88">
        <f>O236</f>
        <v>13993</v>
      </c>
      <c r="T236" s="191" t="s">
        <v>214</v>
      </c>
      <c r="U236" s="230">
        <f>U232</f>
        <v>95700</v>
      </c>
      <c r="V236" s="242">
        <f>W236/U236</f>
        <v>0.31</v>
      </c>
      <c r="W236" s="190">
        <f>SUM(W230:W235)</f>
        <v>29667</v>
      </c>
      <c r="X236" s="191" t="s">
        <v>214</v>
      </c>
      <c r="Y236" s="230">
        <f>Y232</f>
        <v>95700</v>
      </c>
      <c r="Z236" s="242">
        <f>AA236/Y236</f>
        <v>0.31</v>
      </c>
      <c r="AA236" s="190">
        <f>SUM(AA230:AA235)</f>
        <v>29667</v>
      </c>
      <c r="AB236" s="191" t="s">
        <v>214</v>
      </c>
      <c r="AC236" s="230">
        <f>AC232</f>
        <v>95700</v>
      </c>
      <c r="AD236" s="242">
        <f>AE236/AC236</f>
        <v>0.31</v>
      </c>
      <c r="AE236" s="190">
        <f>SUM(AE230:AE235)</f>
        <v>29667</v>
      </c>
    </row>
    <row r="237" spans="1:31" ht="11.25">
      <c r="A237" s="85"/>
      <c r="B237" s="15" t="s">
        <v>342</v>
      </c>
      <c r="H237" s="478">
        <f>H218+H229+H236</f>
        <v>176243</v>
      </c>
      <c r="I237" s="87">
        <f>I218+I229+I236</f>
        <v>225636</v>
      </c>
      <c r="J237" s="87">
        <f>J218+J229+J236</f>
        <v>4701</v>
      </c>
      <c r="K237" s="480">
        <f>K218+K229+K236</f>
        <v>406580</v>
      </c>
      <c r="L237" s="159" t="s">
        <v>213</v>
      </c>
      <c r="M237" s="56">
        <f>M229</f>
        <v>314745</v>
      </c>
      <c r="N237" s="107">
        <f>O237/M237</f>
        <v>1.2917758820632577</v>
      </c>
      <c r="O237" s="32">
        <f>K237</f>
        <v>406580</v>
      </c>
      <c r="P237" s="89" t="s">
        <v>213</v>
      </c>
      <c r="Q237" s="56">
        <f>Q229</f>
        <v>314745</v>
      </c>
      <c r="R237" s="107">
        <f>S237/Q237</f>
        <v>1.2917758820632577</v>
      </c>
      <c r="S237" s="88">
        <f>O237</f>
        <v>406580</v>
      </c>
      <c r="T237" s="191" t="s">
        <v>213</v>
      </c>
      <c r="U237" s="230">
        <f>U229</f>
        <v>314745</v>
      </c>
      <c r="V237" s="242">
        <f>W237/U237</f>
        <v>1.3415749257335303</v>
      </c>
      <c r="W237" s="190">
        <f>W218+W229+W236</f>
        <v>422254</v>
      </c>
      <c r="X237" s="191" t="s">
        <v>213</v>
      </c>
      <c r="Y237" s="230">
        <f>Y229</f>
        <v>314745</v>
      </c>
      <c r="Z237" s="242">
        <f>AA237/Y237</f>
        <v>1.3415749257335303</v>
      </c>
      <c r="AA237" s="190">
        <f>AA218+AA229+AA236</f>
        <v>422254</v>
      </c>
      <c r="AB237" s="191" t="s">
        <v>213</v>
      </c>
      <c r="AC237" s="230">
        <f>AC229</f>
        <v>314745</v>
      </c>
      <c r="AD237" s="242">
        <f>AE237/AC237</f>
        <v>1.3415749257335303</v>
      </c>
      <c r="AE237" s="190">
        <f>AE218+AE229+AE236</f>
        <v>422254</v>
      </c>
    </row>
    <row r="238" spans="1:31" ht="11.25">
      <c r="A238" s="85"/>
      <c r="H238" s="478"/>
      <c r="I238" s="87"/>
      <c r="J238" s="87"/>
      <c r="K238" s="480"/>
      <c r="L238" s="159"/>
      <c r="M238" s="56"/>
      <c r="N238" s="87"/>
      <c r="O238" s="32"/>
      <c r="P238" s="89"/>
      <c r="Q238" s="56"/>
      <c r="R238" s="87"/>
      <c r="S238" s="88"/>
      <c r="T238" s="191"/>
      <c r="U238" s="230"/>
      <c r="V238" s="189"/>
      <c r="W238" s="190"/>
      <c r="X238" s="229"/>
      <c r="Y238" s="230"/>
      <c r="Z238" s="189"/>
      <c r="AA238" s="190"/>
      <c r="AB238" s="229"/>
      <c r="AC238" s="230"/>
      <c r="AD238" s="189"/>
      <c r="AE238" s="190"/>
    </row>
    <row r="239" spans="1:31" ht="11.25">
      <c r="A239" s="85" t="s">
        <v>75</v>
      </c>
      <c r="B239" s="15" t="s">
        <v>206</v>
      </c>
      <c r="H239" s="478"/>
      <c r="I239" s="87"/>
      <c r="J239" s="87"/>
      <c r="K239" s="480"/>
      <c r="L239" s="159"/>
      <c r="M239" s="56"/>
      <c r="N239" s="87"/>
      <c r="O239" s="32"/>
      <c r="P239" s="89"/>
      <c r="Q239" s="84"/>
      <c r="R239" s="84"/>
      <c r="S239" s="33"/>
      <c r="T239" s="191"/>
      <c r="U239" s="113"/>
      <c r="V239" s="113"/>
      <c r="W239" s="36"/>
      <c r="X239" s="229"/>
      <c r="Y239" s="113"/>
      <c r="Z239" s="113"/>
      <c r="AA239" s="36"/>
      <c r="AB239" s="229"/>
      <c r="AC239" s="113"/>
      <c r="AD239" s="113"/>
      <c r="AE239" s="36"/>
    </row>
    <row r="240" spans="1:31" ht="11.25">
      <c r="A240" s="85"/>
      <c r="C240" s="15" t="s">
        <v>31</v>
      </c>
      <c r="H240" s="481"/>
      <c r="I240" s="84"/>
      <c r="J240" s="84"/>
      <c r="K240" s="482"/>
      <c r="L240" s="159"/>
      <c r="M240" s="56"/>
      <c r="N240" s="87"/>
      <c r="O240" s="32"/>
      <c r="P240" s="89"/>
      <c r="Q240" s="84"/>
      <c r="R240" s="87"/>
      <c r="S240" s="33"/>
      <c r="T240" s="191"/>
      <c r="U240" s="113"/>
      <c r="V240" s="189"/>
      <c r="W240" s="36"/>
      <c r="X240" s="229"/>
      <c r="Y240" s="113"/>
      <c r="Z240" s="189"/>
      <c r="AA240" s="36"/>
      <c r="AB240" s="229"/>
      <c r="AC240" s="113"/>
      <c r="AD240" s="189"/>
      <c r="AE240" s="36"/>
    </row>
    <row r="241" spans="1:31" ht="11.25">
      <c r="A241" s="85" t="s">
        <v>129</v>
      </c>
      <c r="D241" s="15" t="s">
        <v>177</v>
      </c>
      <c r="H241" s="478">
        <f>23176+464+3422+500+1159+2852+541</f>
        <v>32114</v>
      </c>
      <c r="I241" s="87">
        <f>10856+217+938+543+782+703</f>
        <v>14039</v>
      </c>
      <c r="J241" s="87">
        <v>0</v>
      </c>
      <c r="K241" s="480">
        <f>H241+I241+J241</f>
        <v>46153</v>
      </c>
      <c r="L241" s="159" t="s">
        <v>208</v>
      </c>
      <c r="M241" s="56">
        <v>7</v>
      </c>
      <c r="N241" s="87">
        <f>O241/M241</f>
        <v>6593.285714285715</v>
      </c>
      <c r="O241" s="32">
        <f>K241</f>
        <v>46153</v>
      </c>
      <c r="P241" s="89" t="s">
        <v>208</v>
      </c>
      <c r="Q241" s="56">
        <v>7</v>
      </c>
      <c r="R241" s="87">
        <f>S241/Q241</f>
        <v>6593.285714285715</v>
      </c>
      <c r="S241" s="88">
        <f>O241</f>
        <v>46153</v>
      </c>
      <c r="T241" s="191" t="s">
        <v>208</v>
      </c>
      <c r="U241" s="230">
        <v>7</v>
      </c>
      <c r="V241" s="189">
        <f>W241/U241</f>
        <v>6593.285714285715</v>
      </c>
      <c r="W241" s="190">
        <f>S241</f>
        <v>46153</v>
      </c>
      <c r="X241" s="229" t="s">
        <v>208</v>
      </c>
      <c r="Y241" s="230">
        <v>7</v>
      </c>
      <c r="Z241" s="189">
        <v>6593.285714285715</v>
      </c>
      <c r="AA241" s="190">
        <v>46153</v>
      </c>
      <c r="AB241" s="229" t="s">
        <v>208</v>
      </c>
      <c r="AC241" s="230">
        <v>7</v>
      </c>
      <c r="AD241" s="189">
        <v>6593.285714285715</v>
      </c>
      <c r="AE241" s="190">
        <v>46153</v>
      </c>
    </row>
    <row r="242" spans="1:31" ht="11.25">
      <c r="A242" s="85" t="s">
        <v>130</v>
      </c>
      <c r="D242" s="15" t="s">
        <v>178</v>
      </c>
      <c r="H242" s="478"/>
      <c r="I242" s="87"/>
      <c r="J242" s="87"/>
      <c r="K242" s="480"/>
      <c r="L242" s="159"/>
      <c r="M242" s="56"/>
      <c r="N242" s="87"/>
      <c r="O242" s="32"/>
      <c r="P242" s="89"/>
      <c r="Q242" s="56"/>
      <c r="R242" s="87"/>
      <c r="S242" s="88"/>
      <c r="T242" s="191"/>
      <c r="U242" s="230"/>
      <c r="V242" s="189"/>
      <c r="W242" s="190"/>
      <c r="X242" s="229"/>
      <c r="Y242" s="230"/>
      <c r="Z242" s="189"/>
      <c r="AA242" s="190"/>
      <c r="AB242" s="229"/>
      <c r="AC242" s="230"/>
      <c r="AD242" s="189"/>
      <c r="AE242" s="190"/>
    </row>
    <row r="243" spans="1:31" ht="11.25">
      <c r="A243" s="85"/>
      <c r="C243" s="15" t="s">
        <v>10</v>
      </c>
      <c r="H243" s="478"/>
      <c r="I243" s="87"/>
      <c r="J243" s="87"/>
      <c r="K243" s="480"/>
      <c r="L243" s="159"/>
      <c r="M243" s="56"/>
      <c r="N243" s="87"/>
      <c r="O243" s="32"/>
      <c r="P243" s="89"/>
      <c r="Q243" s="56"/>
      <c r="R243" s="87"/>
      <c r="S243" s="88"/>
      <c r="T243" s="191"/>
      <c r="U243" s="230"/>
      <c r="V243" s="189"/>
      <c r="W243" s="190"/>
      <c r="X243" s="229"/>
      <c r="Y243" s="230"/>
      <c r="Z243" s="189"/>
      <c r="AA243" s="190"/>
      <c r="AB243" s="229"/>
      <c r="AC243" s="230"/>
      <c r="AD243" s="189"/>
      <c r="AE243" s="190"/>
    </row>
    <row r="244" spans="1:31" ht="11.25">
      <c r="A244" s="85" t="s">
        <v>131</v>
      </c>
      <c r="D244" s="15" t="s">
        <v>11</v>
      </c>
      <c r="H244" s="478">
        <f>2765+1202+601+910+314+3049</f>
        <v>8841</v>
      </c>
      <c r="I244" s="87">
        <f>3114+2307+1030+3704</f>
        <v>10155</v>
      </c>
      <c r="J244" s="87">
        <v>0</v>
      </c>
      <c r="K244" s="480">
        <f>H244+I244+J244</f>
        <v>18996</v>
      </c>
      <c r="L244" s="159" t="s">
        <v>213</v>
      </c>
      <c r="M244" s="56">
        <f>880+7100+6100</f>
        <v>14080</v>
      </c>
      <c r="N244" s="107">
        <f>O244/M244</f>
        <v>1.3491477272727272</v>
      </c>
      <c r="O244" s="32">
        <f>K244</f>
        <v>18996</v>
      </c>
      <c r="P244" s="89" t="s">
        <v>213</v>
      </c>
      <c r="Q244" s="56">
        <f>880+7100+6100</f>
        <v>14080</v>
      </c>
      <c r="R244" s="107">
        <f>S244/Q244</f>
        <v>1.3491477272727272</v>
      </c>
      <c r="S244" s="88">
        <f>O244</f>
        <v>18996</v>
      </c>
      <c r="T244" s="191" t="s">
        <v>213</v>
      </c>
      <c r="U244" s="230">
        <f>880+7100+6100</f>
        <v>14080</v>
      </c>
      <c r="V244" s="242">
        <f>W244/U244</f>
        <v>1.3491477272727272</v>
      </c>
      <c r="W244" s="190">
        <f>S244</f>
        <v>18996</v>
      </c>
      <c r="X244" s="229" t="s">
        <v>213</v>
      </c>
      <c r="Y244" s="230">
        <v>14080</v>
      </c>
      <c r="Z244" s="242">
        <v>1.3491477272727272</v>
      </c>
      <c r="AA244" s="190">
        <v>18996</v>
      </c>
      <c r="AB244" s="229" t="s">
        <v>213</v>
      </c>
      <c r="AC244" s="230">
        <v>14080</v>
      </c>
      <c r="AD244" s="242">
        <v>1.3491477272727272</v>
      </c>
      <c r="AE244" s="190">
        <v>18996</v>
      </c>
    </row>
    <row r="245" spans="1:31" ht="11.25">
      <c r="A245" s="85" t="s">
        <v>132</v>
      </c>
      <c r="D245" s="15" t="s">
        <v>12</v>
      </c>
      <c r="H245" s="478"/>
      <c r="I245" s="87"/>
      <c r="J245" s="87"/>
      <c r="K245" s="480"/>
      <c r="L245" s="159"/>
      <c r="M245" s="56"/>
      <c r="N245" s="87"/>
      <c r="O245" s="32"/>
      <c r="P245" s="89"/>
      <c r="Q245" s="56"/>
      <c r="R245" s="87"/>
      <c r="S245" s="88"/>
      <c r="T245" s="191"/>
      <c r="U245" s="230"/>
      <c r="V245" s="189"/>
      <c r="W245" s="190"/>
      <c r="X245" s="229"/>
      <c r="Y245" s="230"/>
      <c r="Z245" s="189"/>
      <c r="AA245" s="190"/>
      <c r="AB245" s="229"/>
      <c r="AC245" s="230"/>
      <c r="AD245" s="189"/>
      <c r="AE245" s="190"/>
    </row>
    <row r="246" spans="1:31" ht="11.25">
      <c r="A246" s="85" t="s">
        <v>458</v>
      </c>
      <c r="D246" s="15" t="s">
        <v>13</v>
      </c>
      <c r="H246" s="478"/>
      <c r="I246" s="87"/>
      <c r="J246" s="87"/>
      <c r="K246" s="480"/>
      <c r="L246" s="159"/>
      <c r="M246" s="56"/>
      <c r="N246" s="87"/>
      <c r="O246" s="32"/>
      <c r="P246" s="89"/>
      <c r="Q246" s="56"/>
      <c r="R246" s="87"/>
      <c r="S246" s="88"/>
      <c r="T246" s="191"/>
      <c r="U246" s="230"/>
      <c r="V246" s="189"/>
      <c r="W246" s="190"/>
      <c r="X246" s="229"/>
      <c r="Y246" s="230"/>
      <c r="Z246" s="189"/>
      <c r="AA246" s="190"/>
      <c r="AB246" s="229"/>
      <c r="AC246" s="230"/>
      <c r="AD246" s="189"/>
      <c r="AE246" s="190"/>
    </row>
    <row r="247" spans="1:31" ht="11.25">
      <c r="A247" s="85" t="s">
        <v>459</v>
      </c>
      <c r="D247" s="15" t="s">
        <v>14</v>
      </c>
      <c r="H247" s="478">
        <f>920+301</f>
        <v>1221</v>
      </c>
      <c r="I247" s="87">
        <f>1156+407</f>
        <v>1563</v>
      </c>
      <c r="J247" s="87">
        <v>0</v>
      </c>
      <c r="K247" s="480">
        <f>H247+I247+J247</f>
        <v>2784</v>
      </c>
      <c r="L247" s="159" t="s">
        <v>213</v>
      </c>
      <c r="M247" s="56">
        <v>1200</v>
      </c>
      <c r="N247" s="107">
        <f>O247/M247</f>
        <v>2.32</v>
      </c>
      <c r="O247" s="32">
        <f>K247</f>
        <v>2784</v>
      </c>
      <c r="P247" s="89" t="s">
        <v>213</v>
      </c>
      <c r="Q247" s="56">
        <v>1200</v>
      </c>
      <c r="R247" s="107">
        <f>S247/Q247</f>
        <v>2.32</v>
      </c>
      <c r="S247" s="88">
        <f>O247</f>
        <v>2784</v>
      </c>
      <c r="T247" s="191" t="s">
        <v>213</v>
      </c>
      <c r="U247" s="230">
        <f>Q247*2</f>
        <v>2400</v>
      </c>
      <c r="V247" s="242">
        <f>R247*2</f>
        <v>4.64</v>
      </c>
      <c r="W247" s="190">
        <f>U247*V247</f>
        <v>11136</v>
      </c>
      <c r="X247" s="229" t="s">
        <v>213</v>
      </c>
      <c r="Y247" s="230">
        <v>2400</v>
      </c>
      <c r="Z247" s="242">
        <v>4.64</v>
      </c>
      <c r="AA247" s="190">
        <v>11136</v>
      </c>
      <c r="AB247" s="229" t="s">
        <v>213</v>
      </c>
      <c r="AC247" s="230">
        <v>2400</v>
      </c>
      <c r="AD247" s="242">
        <v>4.64</v>
      </c>
      <c r="AE247" s="190">
        <v>11136</v>
      </c>
    </row>
    <row r="248" spans="1:31" ht="11.25">
      <c r="A248" s="85"/>
      <c r="C248" s="15" t="s">
        <v>15</v>
      </c>
      <c r="H248" s="478"/>
      <c r="I248" s="87"/>
      <c r="J248" s="87"/>
      <c r="K248" s="480"/>
      <c r="L248" s="159"/>
      <c r="M248" s="56"/>
      <c r="N248" s="87"/>
      <c r="O248" s="32"/>
      <c r="P248" s="89"/>
      <c r="Q248" s="56"/>
      <c r="R248" s="86"/>
      <c r="S248" s="33"/>
      <c r="T248" s="191"/>
      <c r="U248" s="230"/>
      <c r="V248" s="192"/>
      <c r="W248" s="36"/>
      <c r="X248" s="229"/>
      <c r="Y248" s="230"/>
      <c r="Z248" s="192"/>
      <c r="AA248" s="36"/>
      <c r="AB248" s="229"/>
      <c r="AC248" s="230"/>
      <c r="AD248" s="192"/>
      <c r="AE248" s="36"/>
    </row>
    <row r="249" spans="1:31" ht="11.25">
      <c r="A249" s="85" t="s">
        <v>460</v>
      </c>
      <c r="D249" s="15" t="s">
        <v>11</v>
      </c>
      <c r="H249" s="478"/>
      <c r="I249" s="87"/>
      <c r="J249" s="87"/>
      <c r="K249" s="480"/>
      <c r="L249" s="159"/>
      <c r="M249" s="56"/>
      <c r="N249" s="87"/>
      <c r="O249" s="32"/>
      <c r="P249" s="89"/>
      <c r="Q249" s="56"/>
      <c r="R249" s="86"/>
      <c r="S249" s="33"/>
      <c r="T249" s="191"/>
      <c r="U249" s="230"/>
      <c r="V249" s="192"/>
      <c r="W249" s="36"/>
      <c r="X249" s="229"/>
      <c r="Y249" s="230"/>
      <c r="Z249" s="192"/>
      <c r="AA249" s="36"/>
      <c r="AB249" s="229"/>
      <c r="AC249" s="230"/>
      <c r="AD249" s="192"/>
      <c r="AE249" s="36"/>
    </row>
    <row r="250" spans="1:31" ht="11.25">
      <c r="A250" s="85" t="s">
        <v>461</v>
      </c>
      <c r="D250" s="15" t="s">
        <v>12</v>
      </c>
      <c r="H250" s="478"/>
      <c r="I250" s="87"/>
      <c r="J250" s="87"/>
      <c r="K250" s="480"/>
      <c r="L250" s="159"/>
      <c r="M250" s="56"/>
      <c r="N250" s="87"/>
      <c r="O250" s="32"/>
      <c r="P250" s="89"/>
      <c r="Q250" s="56"/>
      <c r="R250" s="96"/>
      <c r="S250" s="33"/>
      <c r="T250" s="191"/>
      <c r="U250" s="230"/>
      <c r="V250" s="100"/>
      <c r="W250" s="36"/>
      <c r="X250" s="229"/>
      <c r="Y250" s="230"/>
      <c r="Z250" s="100"/>
      <c r="AA250" s="36"/>
      <c r="AB250" s="229"/>
      <c r="AC250" s="230"/>
      <c r="AD250" s="100"/>
      <c r="AE250" s="36"/>
    </row>
    <row r="251" spans="1:31" ht="11.25">
      <c r="A251" s="85" t="s">
        <v>462</v>
      </c>
      <c r="D251" s="15" t="s">
        <v>13</v>
      </c>
      <c r="H251" s="478"/>
      <c r="I251" s="87"/>
      <c r="J251" s="87"/>
      <c r="K251" s="480"/>
      <c r="L251" s="159"/>
      <c r="M251" s="56"/>
      <c r="N251" s="87"/>
      <c r="O251" s="32"/>
      <c r="P251" s="89"/>
      <c r="Q251" s="56"/>
      <c r="R251" s="86"/>
      <c r="S251" s="33"/>
      <c r="T251" s="191"/>
      <c r="U251" s="230"/>
      <c r="V251" s="192"/>
      <c r="W251" s="36"/>
      <c r="X251" s="229"/>
      <c r="Y251" s="230"/>
      <c r="Z251" s="192"/>
      <c r="AA251" s="36"/>
      <c r="AB251" s="229"/>
      <c r="AC251" s="230"/>
      <c r="AD251" s="192"/>
      <c r="AE251" s="36"/>
    </row>
    <row r="252" spans="1:31" ht="11.25">
      <c r="A252" s="85" t="s">
        <v>463</v>
      </c>
      <c r="D252" s="15" t="s">
        <v>14</v>
      </c>
      <c r="H252" s="478"/>
      <c r="I252" s="87"/>
      <c r="J252" s="87"/>
      <c r="K252" s="480"/>
      <c r="L252" s="159"/>
      <c r="M252" s="56"/>
      <c r="N252" s="87"/>
      <c r="O252" s="32"/>
      <c r="P252" s="89"/>
      <c r="Q252" s="56"/>
      <c r="R252" s="86"/>
      <c r="S252" s="33"/>
      <c r="T252" s="191"/>
      <c r="U252" s="230"/>
      <c r="V252" s="192"/>
      <c r="W252" s="36"/>
      <c r="X252" s="229"/>
      <c r="Y252" s="230"/>
      <c r="Z252" s="192"/>
      <c r="AA252" s="36"/>
      <c r="AB252" s="229"/>
      <c r="AC252" s="230"/>
      <c r="AD252" s="192"/>
      <c r="AE252" s="36"/>
    </row>
    <row r="253" spans="1:31" ht="11.25">
      <c r="A253" s="85"/>
      <c r="C253" s="15" t="s">
        <v>16</v>
      </c>
      <c r="H253" s="478">
        <f>SUM(H243:H252)</f>
        <v>10062</v>
      </c>
      <c r="I253" s="87">
        <f>SUM(I243:I252)</f>
        <v>11718</v>
      </c>
      <c r="J253" s="87">
        <f>SUM(J243:J252)</f>
        <v>0</v>
      </c>
      <c r="K253" s="480">
        <f>H253+I253+J253</f>
        <v>21780</v>
      </c>
      <c r="L253" s="159" t="s">
        <v>213</v>
      </c>
      <c r="M253" s="56">
        <f>M244</f>
        <v>14080</v>
      </c>
      <c r="N253" s="107">
        <f>O253/M253</f>
        <v>1.546875</v>
      </c>
      <c r="O253" s="32">
        <f>SUM(O243:O252)</f>
        <v>21780</v>
      </c>
      <c r="P253" s="89" t="s">
        <v>213</v>
      </c>
      <c r="Q253" s="56">
        <f>Q244</f>
        <v>14080</v>
      </c>
      <c r="R253" s="107">
        <f>S253/Q253</f>
        <v>1.546875</v>
      </c>
      <c r="S253" s="88">
        <f>SUM(S243:S252)</f>
        <v>21780</v>
      </c>
      <c r="T253" s="191" t="s">
        <v>213</v>
      </c>
      <c r="U253" s="230">
        <f>U244</f>
        <v>14080</v>
      </c>
      <c r="V253" s="242">
        <f>W253/U253</f>
        <v>2.1400568181818183</v>
      </c>
      <c r="W253" s="190">
        <f>SUM(W243:W252)</f>
        <v>30132</v>
      </c>
      <c r="X253" s="191" t="s">
        <v>213</v>
      </c>
      <c r="Y253" s="230">
        <f>Y244</f>
        <v>14080</v>
      </c>
      <c r="Z253" s="242">
        <f>AA253/Y253</f>
        <v>2.1400568181818183</v>
      </c>
      <c r="AA253" s="190">
        <f>SUM(AA243:AA252)</f>
        <v>30132</v>
      </c>
      <c r="AB253" s="191" t="s">
        <v>213</v>
      </c>
      <c r="AC253" s="230">
        <f>AC244</f>
        <v>14080</v>
      </c>
      <c r="AD253" s="242">
        <f>AE253/AC253</f>
        <v>2.1400568181818183</v>
      </c>
      <c r="AE253" s="190">
        <f>SUM(AE243:AE252)</f>
        <v>30132</v>
      </c>
    </row>
    <row r="254" spans="1:31" ht="11.25">
      <c r="A254" s="85"/>
      <c r="C254" s="15" t="s">
        <v>10</v>
      </c>
      <c r="H254" s="478"/>
      <c r="I254" s="87"/>
      <c r="J254" s="87"/>
      <c r="K254" s="480"/>
      <c r="L254" s="159"/>
      <c r="M254" s="56"/>
      <c r="N254" s="87"/>
      <c r="O254" s="32"/>
      <c r="P254" s="89"/>
      <c r="Q254" s="56"/>
      <c r="R254" s="108"/>
      <c r="S254" s="33"/>
      <c r="T254" s="191"/>
      <c r="U254" s="230"/>
      <c r="V254" s="243"/>
      <c r="W254" s="36"/>
      <c r="X254" s="229"/>
      <c r="Y254" s="230"/>
      <c r="Z254" s="243"/>
      <c r="AA254" s="36"/>
      <c r="AB254" s="229"/>
      <c r="AC254" s="230"/>
      <c r="AD254" s="243"/>
      <c r="AE254" s="36"/>
    </row>
    <row r="255" spans="1:31" ht="11.25">
      <c r="A255" s="85" t="s">
        <v>464</v>
      </c>
      <c r="D255" s="15" t="s">
        <v>17</v>
      </c>
      <c r="H255" s="478"/>
      <c r="I255" s="87"/>
      <c r="J255" s="87"/>
      <c r="K255" s="480"/>
      <c r="L255" s="159"/>
      <c r="M255" s="56"/>
      <c r="N255" s="87"/>
      <c r="O255" s="32"/>
      <c r="P255" s="89"/>
      <c r="Q255" s="56"/>
      <c r="R255" s="108"/>
      <c r="S255" s="33"/>
      <c r="T255" s="191"/>
      <c r="U255" s="230"/>
      <c r="V255" s="243"/>
      <c r="W255" s="36"/>
      <c r="X255" s="229"/>
      <c r="Y255" s="230"/>
      <c r="Z255" s="243"/>
      <c r="AA255" s="36"/>
      <c r="AB255" s="229"/>
      <c r="AC255" s="230"/>
      <c r="AD255" s="243"/>
      <c r="AE255" s="36"/>
    </row>
    <row r="256" spans="1:31" ht="11.25">
      <c r="A256" s="85" t="s">
        <v>465</v>
      </c>
      <c r="D256" s="15" t="s">
        <v>18</v>
      </c>
      <c r="H256" s="478">
        <v>487</v>
      </c>
      <c r="I256" s="87">
        <v>389</v>
      </c>
      <c r="J256" s="87">
        <v>213</v>
      </c>
      <c r="K256" s="480">
        <f>H256+I256+J256</f>
        <v>1089</v>
      </c>
      <c r="L256" s="159" t="s">
        <v>214</v>
      </c>
      <c r="M256" s="56">
        <v>7100</v>
      </c>
      <c r="N256" s="107">
        <f>O256/M256</f>
        <v>0.15338028169014084</v>
      </c>
      <c r="O256" s="32">
        <f>K256</f>
        <v>1089</v>
      </c>
      <c r="P256" s="89" t="s">
        <v>214</v>
      </c>
      <c r="Q256" s="56">
        <v>7100</v>
      </c>
      <c r="R256" s="107">
        <f>S256/Q256</f>
        <v>0.15338028169014084</v>
      </c>
      <c r="S256" s="88">
        <f>O256</f>
        <v>1089</v>
      </c>
      <c r="T256" s="191" t="s">
        <v>214</v>
      </c>
      <c r="U256" s="230">
        <v>7100</v>
      </c>
      <c r="V256" s="242">
        <v>0.31</v>
      </c>
      <c r="W256" s="190">
        <f>U256*V256</f>
        <v>2201</v>
      </c>
      <c r="X256" s="229" t="s">
        <v>214</v>
      </c>
      <c r="Y256" s="230">
        <v>7100</v>
      </c>
      <c r="Z256" s="242">
        <v>0.31</v>
      </c>
      <c r="AA256" s="190">
        <v>2201</v>
      </c>
      <c r="AB256" s="229" t="s">
        <v>214</v>
      </c>
      <c r="AC256" s="230">
        <v>7100</v>
      </c>
      <c r="AD256" s="242">
        <v>0.31</v>
      </c>
      <c r="AE256" s="190">
        <v>2201</v>
      </c>
    </row>
    <row r="257" spans="1:31" ht="11.25">
      <c r="A257" s="85"/>
      <c r="C257" s="15" t="s">
        <v>15</v>
      </c>
      <c r="H257" s="478"/>
      <c r="I257" s="87"/>
      <c r="J257" s="87"/>
      <c r="K257" s="480"/>
      <c r="L257" s="159"/>
      <c r="M257" s="56"/>
      <c r="N257" s="87"/>
      <c r="O257" s="32"/>
      <c r="P257" s="89"/>
      <c r="Q257" s="56"/>
      <c r="R257" s="87"/>
      <c r="S257" s="88"/>
      <c r="T257" s="191"/>
      <c r="U257" s="230"/>
      <c r="V257" s="189"/>
      <c r="W257" s="190"/>
      <c r="X257" s="229"/>
      <c r="Y257" s="230"/>
      <c r="Z257" s="189"/>
      <c r="AA257" s="190"/>
      <c r="AB257" s="229"/>
      <c r="AC257" s="230"/>
      <c r="AD257" s="189"/>
      <c r="AE257" s="190"/>
    </row>
    <row r="258" spans="1:31" ht="11.25">
      <c r="A258" s="85" t="s">
        <v>466</v>
      </c>
      <c r="D258" s="15" t="s">
        <v>17</v>
      </c>
      <c r="H258" s="478"/>
      <c r="I258" s="87"/>
      <c r="J258" s="87"/>
      <c r="K258" s="480"/>
      <c r="L258" s="159"/>
      <c r="M258" s="56"/>
      <c r="N258" s="87"/>
      <c r="O258" s="32"/>
      <c r="P258" s="89"/>
      <c r="Q258" s="56"/>
      <c r="R258" s="108"/>
      <c r="S258" s="33"/>
      <c r="T258" s="191"/>
      <c r="U258" s="230"/>
      <c r="V258" s="243"/>
      <c r="W258" s="36"/>
      <c r="X258" s="229"/>
      <c r="Y258" s="230"/>
      <c r="Z258" s="243"/>
      <c r="AA258" s="36"/>
      <c r="AB258" s="229"/>
      <c r="AC258" s="230"/>
      <c r="AD258" s="243"/>
      <c r="AE258" s="36"/>
    </row>
    <row r="259" spans="1:31" ht="11.25">
      <c r="A259" s="85" t="s">
        <v>467</v>
      </c>
      <c r="D259" s="15" t="s">
        <v>19</v>
      </c>
      <c r="G259" s="51"/>
      <c r="H259" s="478"/>
      <c r="I259" s="87"/>
      <c r="J259" s="87"/>
      <c r="K259" s="480"/>
      <c r="L259" s="159"/>
      <c r="M259" s="56"/>
      <c r="N259" s="87"/>
      <c r="O259" s="32"/>
      <c r="P259" s="89"/>
      <c r="Q259" s="56"/>
      <c r="R259" s="87"/>
      <c r="S259" s="33"/>
      <c r="T259" s="191"/>
      <c r="U259" s="230"/>
      <c r="V259" s="189"/>
      <c r="W259" s="36"/>
      <c r="X259" s="229"/>
      <c r="Y259" s="230"/>
      <c r="Z259" s="189"/>
      <c r="AA259" s="36"/>
      <c r="AB259" s="229"/>
      <c r="AC259" s="230"/>
      <c r="AD259" s="189"/>
      <c r="AE259" s="36"/>
    </row>
    <row r="260" spans="1:31" ht="11.25">
      <c r="A260" s="85"/>
      <c r="C260" s="15" t="s">
        <v>20</v>
      </c>
      <c r="H260" s="478">
        <f>SUM(H254:H259)</f>
        <v>487</v>
      </c>
      <c r="I260" s="87">
        <f>SUM(I254:I259)</f>
        <v>389</v>
      </c>
      <c r="J260" s="87">
        <f>SUM(J254:J259)</f>
        <v>213</v>
      </c>
      <c r="K260" s="480">
        <f>H260+I260+J260</f>
        <v>1089</v>
      </c>
      <c r="L260" s="159" t="s">
        <v>214</v>
      </c>
      <c r="M260" s="56">
        <f>M256</f>
        <v>7100</v>
      </c>
      <c r="N260" s="107">
        <f>O260/M260</f>
        <v>0.15338028169014084</v>
      </c>
      <c r="O260" s="32">
        <f>SUM(O254:O259)</f>
        <v>1089</v>
      </c>
      <c r="P260" s="89" t="s">
        <v>214</v>
      </c>
      <c r="Q260" s="56">
        <f>Q256</f>
        <v>7100</v>
      </c>
      <c r="R260" s="107">
        <f>S260/Q260</f>
        <v>0.15338028169014084</v>
      </c>
      <c r="S260" s="88">
        <f>SUM(S254:S259)</f>
        <v>1089</v>
      </c>
      <c r="T260" s="191" t="s">
        <v>214</v>
      </c>
      <c r="U260" s="230">
        <f>U256</f>
        <v>7100</v>
      </c>
      <c r="V260" s="242">
        <f>W260/U260</f>
        <v>0.31</v>
      </c>
      <c r="W260" s="190">
        <f>SUM(W254:W259)</f>
        <v>2201</v>
      </c>
      <c r="X260" s="229" t="s">
        <v>214</v>
      </c>
      <c r="Y260" s="230">
        <f>Y256</f>
        <v>7100</v>
      </c>
      <c r="Z260" s="242">
        <f>AA260/Y260</f>
        <v>0.31</v>
      </c>
      <c r="AA260" s="190">
        <f>SUM(AA254:AA259)</f>
        <v>2201</v>
      </c>
      <c r="AB260" s="229" t="s">
        <v>214</v>
      </c>
      <c r="AC260" s="230">
        <f>AC256</f>
        <v>7100</v>
      </c>
      <c r="AD260" s="242">
        <f>AE260/AC260</f>
        <v>0.31</v>
      </c>
      <c r="AE260" s="190">
        <f>SUM(AE254:AE259)</f>
        <v>2201</v>
      </c>
    </row>
    <row r="261" spans="1:31" ht="11.25">
      <c r="A261" s="85"/>
      <c r="B261" s="15" t="s">
        <v>207</v>
      </c>
      <c r="H261" s="478">
        <f>H241+H253+H260</f>
        <v>42663</v>
      </c>
      <c r="I261" s="87">
        <f>I241+I253+I260</f>
        <v>26146</v>
      </c>
      <c r="J261" s="87">
        <f>J241+J253+J260</f>
        <v>213</v>
      </c>
      <c r="K261" s="480">
        <f>K241+K253+K260</f>
        <v>69022</v>
      </c>
      <c r="L261" s="159" t="s">
        <v>213</v>
      </c>
      <c r="M261" s="56">
        <v>14080</v>
      </c>
      <c r="N261" s="107">
        <f>O261/M261</f>
        <v>4.902130681818182</v>
      </c>
      <c r="O261" s="32">
        <f>O241+O253+O260</f>
        <v>69022</v>
      </c>
      <c r="P261" s="89" t="s">
        <v>213</v>
      </c>
      <c r="Q261" s="56">
        <v>14080</v>
      </c>
      <c r="R261" s="107">
        <f>S261/Q261</f>
        <v>4.902130681818182</v>
      </c>
      <c r="S261" s="88">
        <f>S241+S253+S260</f>
        <v>69022</v>
      </c>
      <c r="T261" s="191" t="s">
        <v>213</v>
      </c>
      <c r="U261" s="230">
        <v>14080</v>
      </c>
      <c r="V261" s="242">
        <f>W261/U261</f>
        <v>5.574289772727273</v>
      </c>
      <c r="W261" s="190">
        <f>W241+W253+W260</f>
        <v>78486</v>
      </c>
      <c r="X261" s="229" t="s">
        <v>213</v>
      </c>
      <c r="Y261" s="230">
        <v>14080</v>
      </c>
      <c r="Z261" s="242">
        <f>AA261/Y261</f>
        <v>5.574289772727273</v>
      </c>
      <c r="AA261" s="190">
        <f>AA241+AA253+AA260</f>
        <v>78486</v>
      </c>
      <c r="AB261" s="229" t="s">
        <v>213</v>
      </c>
      <c r="AC261" s="230">
        <v>14080</v>
      </c>
      <c r="AD261" s="242">
        <f>AE261/AC261</f>
        <v>5.574289772727273</v>
      </c>
      <c r="AE261" s="190">
        <f>AE241+AE253+AE260</f>
        <v>78486</v>
      </c>
    </row>
    <row r="262" spans="1:31" ht="11.25">
      <c r="A262" s="85"/>
      <c r="H262" s="478"/>
      <c r="I262" s="87"/>
      <c r="J262" s="87"/>
      <c r="K262" s="480"/>
      <c r="L262" s="397"/>
      <c r="M262" s="332"/>
      <c r="N262" s="341"/>
      <c r="O262" s="379"/>
      <c r="P262" s="435"/>
      <c r="Q262" s="110"/>
      <c r="R262" s="110"/>
      <c r="S262" s="111"/>
      <c r="T262" s="408"/>
      <c r="U262" s="245"/>
      <c r="V262" s="245"/>
      <c r="W262" s="246"/>
      <c r="X262" s="244"/>
      <c r="Y262" s="245"/>
      <c r="Z262" s="245"/>
      <c r="AA262" s="246"/>
      <c r="AB262" s="244"/>
      <c r="AC262" s="245"/>
      <c r="AD262" s="245"/>
      <c r="AE262" s="246"/>
    </row>
    <row r="263" spans="1:31" ht="11.25">
      <c r="A263" s="112" t="s">
        <v>77</v>
      </c>
      <c r="B263" s="98" t="s">
        <v>215</v>
      </c>
      <c r="C263" s="98"/>
      <c r="D263" s="98"/>
      <c r="E263" s="98"/>
      <c r="F263" s="98"/>
      <c r="G263" s="98"/>
      <c r="H263" s="261"/>
      <c r="I263" s="189"/>
      <c r="J263" s="189"/>
      <c r="K263" s="487"/>
      <c r="L263" s="417"/>
      <c r="M263" s="230"/>
      <c r="N263" s="189"/>
      <c r="O263" s="45"/>
      <c r="P263" s="124"/>
      <c r="Q263" s="113"/>
      <c r="R263" s="100"/>
      <c r="S263" s="36"/>
      <c r="T263" s="191"/>
      <c r="U263" s="113"/>
      <c r="V263" s="100"/>
      <c r="W263" s="36"/>
      <c r="X263" s="229"/>
      <c r="Y263" s="113"/>
      <c r="Z263" s="100"/>
      <c r="AA263" s="36"/>
      <c r="AB263" s="229"/>
      <c r="AC263" s="113"/>
      <c r="AD263" s="100"/>
      <c r="AE263" s="36"/>
    </row>
    <row r="264" spans="1:31" ht="11.25">
      <c r="A264" s="102"/>
      <c r="C264" s="15" t="s">
        <v>31</v>
      </c>
      <c r="H264" s="481"/>
      <c r="I264" s="84"/>
      <c r="J264" s="84"/>
      <c r="K264" s="482"/>
      <c r="L264" s="159"/>
      <c r="M264" s="56"/>
      <c r="N264" s="87"/>
      <c r="O264" s="32"/>
      <c r="P264" s="89"/>
      <c r="Q264" s="84"/>
      <c r="R264" s="87"/>
      <c r="S264" s="33"/>
      <c r="T264" s="191"/>
      <c r="U264" s="113"/>
      <c r="V264" s="189"/>
      <c r="W264" s="36"/>
      <c r="X264" s="229"/>
      <c r="Y264" s="113"/>
      <c r="Z264" s="189"/>
      <c r="AA264" s="36"/>
      <c r="AB264" s="229"/>
      <c r="AC264" s="113"/>
      <c r="AD264" s="189"/>
      <c r="AE264" s="36"/>
    </row>
    <row r="265" spans="1:31" ht="11.25">
      <c r="A265" s="102" t="s">
        <v>468</v>
      </c>
      <c r="D265" s="15" t="s">
        <v>177</v>
      </c>
      <c r="H265" s="478">
        <f>115880+2897+28970+17382+2852+21648</f>
        <v>189629</v>
      </c>
      <c r="I265" s="87">
        <f>54280+1357+13570+8142+782+28134</f>
        <v>106265</v>
      </c>
      <c r="J265" s="87">
        <v>10000</v>
      </c>
      <c r="K265" s="480">
        <f>H265+I265+J265</f>
        <v>305894</v>
      </c>
      <c r="L265" s="159" t="s">
        <v>208</v>
      </c>
      <c r="M265" s="56">
        <v>6</v>
      </c>
      <c r="N265" s="87">
        <f>O265/M265</f>
        <v>50982.333333333336</v>
      </c>
      <c r="O265" s="32">
        <f>K265</f>
        <v>305894</v>
      </c>
      <c r="P265" s="89" t="s">
        <v>208</v>
      </c>
      <c r="Q265" s="56">
        <v>6</v>
      </c>
      <c r="R265" s="87">
        <f>S265/Q265</f>
        <v>50982.333333333336</v>
      </c>
      <c r="S265" s="88">
        <f>O265</f>
        <v>305894</v>
      </c>
      <c r="T265" s="89" t="s">
        <v>208</v>
      </c>
      <c r="U265" s="56">
        <v>6</v>
      </c>
      <c r="V265" s="87">
        <f>W265/U265</f>
        <v>50982.333333333336</v>
      </c>
      <c r="W265" s="88">
        <f>S265</f>
        <v>305894</v>
      </c>
      <c r="X265" s="229" t="s">
        <v>208</v>
      </c>
      <c r="Y265" s="230">
        <v>6</v>
      </c>
      <c r="Z265" s="189">
        <v>50982.333333333336</v>
      </c>
      <c r="AA265" s="190">
        <v>305894</v>
      </c>
      <c r="AB265" s="229" t="s">
        <v>208</v>
      </c>
      <c r="AC265" s="230">
        <v>6</v>
      </c>
      <c r="AD265" s="189">
        <v>50982.333333333336</v>
      </c>
      <c r="AE265" s="190">
        <v>305894</v>
      </c>
    </row>
    <row r="266" spans="1:31" ht="11.25">
      <c r="A266" s="102" t="s">
        <v>469</v>
      </c>
      <c r="D266" s="15" t="s">
        <v>178</v>
      </c>
      <c r="H266" s="478"/>
      <c r="I266" s="87"/>
      <c r="J266" s="87"/>
      <c r="K266" s="480"/>
      <c r="L266" s="159"/>
      <c r="M266" s="56"/>
      <c r="N266" s="87"/>
      <c r="O266" s="32"/>
      <c r="P266" s="89"/>
      <c r="Q266" s="56"/>
      <c r="R266" s="87"/>
      <c r="S266" s="88"/>
      <c r="T266" s="89"/>
      <c r="U266" s="56"/>
      <c r="V266" s="87"/>
      <c r="W266" s="88"/>
      <c r="X266" s="229"/>
      <c r="Y266" s="230"/>
      <c r="Z266" s="189"/>
      <c r="AA266" s="190"/>
      <c r="AB266" s="229"/>
      <c r="AC266" s="230"/>
      <c r="AD266" s="189"/>
      <c r="AE266" s="190"/>
    </row>
    <row r="267" spans="1:31" ht="11.25">
      <c r="A267" s="112"/>
      <c r="C267" s="15" t="s">
        <v>10</v>
      </c>
      <c r="H267" s="478"/>
      <c r="I267" s="87"/>
      <c r="J267" s="87"/>
      <c r="K267" s="480"/>
      <c r="L267" s="159"/>
      <c r="M267" s="56"/>
      <c r="N267" s="87"/>
      <c r="O267" s="32"/>
      <c r="P267" s="89"/>
      <c r="Q267" s="56"/>
      <c r="R267" s="87"/>
      <c r="S267" s="88"/>
      <c r="T267" s="89"/>
      <c r="U267" s="56"/>
      <c r="V267" s="87"/>
      <c r="W267" s="88"/>
      <c r="X267" s="229"/>
      <c r="Y267" s="230"/>
      <c r="Z267" s="189"/>
      <c r="AA267" s="190"/>
      <c r="AB267" s="229"/>
      <c r="AC267" s="230"/>
      <c r="AD267" s="189"/>
      <c r="AE267" s="190"/>
    </row>
    <row r="268" spans="1:31" ht="11.25">
      <c r="A268" s="112" t="s">
        <v>470</v>
      </c>
      <c r="D268" s="15" t="s">
        <v>11</v>
      </c>
      <c r="H268" s="478"/>
      <c r="I268" s="87"/>
      <c r="J268" s="87"/>
      <c r="K268" s="480"/>
      <c r="L268" s="159"/>
      <c r="M268" s="56"/>
      <c r="N268" s="87"/>
      <c r="O268" s="32"/>
      <c r="P268" s="89"/>
      <c r="Q268" s="56"/>
      <c r="R268" s="87"/>
      <c r="S268" s="88"/>
      <c r="T268" s="89"/>
      <c r="U268" s="56"/>
      <c r="V268" s="87"/>
      <c r="W268" s="88"/>
      <c r="X268" s="229"/>
      <c r="Y268" s="230"/>
      <c r="Z268" s="189"/>
      <c r="AA268" s="190"/>
      <c r="AB268" s="229"/>
      <c r="AC268" s="230"/>
      <c r="AD268" s="189"/>
      <c r="AE268" s="190"/>
    </row>
    <row r="269" spans="1:31" ht="11.25">
      <c r="A269" s="112" t="s">
        <v>471</v>
      </c>
      <c r="D269" s="15" t="s">
        <v>12</v>
      </c>
      <c r="H269" s="478"/>
      <c r="I269" s="87"/>
      <c r="J269" s="87"/>
      <c r="K269" s="480"/>
      <c r="L269" s="159"/>
      <c r="M269" s="56"/>
      <c r="N269" s="87"/>
      <c r="O269" s="32"/>
      <c r="P269" s="89"/>
      <c r="Q269" s="56"/>
      <c r="R269" s="87"/>
      <c r="S269" s="88"/>
      <c r="T269" s="89"/>
      <c r="U269" s="56"/>
      <c r="V269" s="87"/>
      <c r="W269" s="88"/>
      <c r="X269" s="229"/>
      <c r="Y269" s="230"/>
      <c r="Z269" s="189"/>
      <c r="AA269" s="190"/>
      <c r="AB269" s="229"/>
      <c r="AC269" s="230"/>
      <c r="AD269" s="189"/>
      <c r="AE269" s="190"/>
    </row>
    <row r="270" spans="1:31" ht="11.25">
      <c r="A270" s="112" t="s">
        <v>472</v>
      </c>
      <c r="D270" s="15" t="s">
        <v>13</v>
      </c>
      <c r="H270" s="478"/>
      <c r="I270" s="87"/>
      <c r="J270" s="87"/>
      <c r="K270" s="480"/>
      <c r="L270" s="159"/>
      <c r="M270" s="56"/>
      <c r="N270" s="87"/>
      <c r="O270" s="32"/>
      <c r="P270" s="89"/>
      <c r="Q270" s="56"/>
      <c r="R270" s="87"/>
      <c r="S270" s="88"/>
      <c r="T270" s="89"/>
      <c r="U270" s="56"/>
      <c r="V270" s="87"/>
      <c r="W270" s="88"/>
      <c r="X270" s="229"/>
      <c r="Y270" s="230"/>
      <c r="Z270" s="189"/>
      <c r="AA270" s="190"/>
      <c r="AB270" s="229"/>
      <c r="AC270" s="230"/>
      <c r="AD270" s="189"/>
      <c r="AE270" s="190"/>
    </row>
    <row r="271" spans="1:31" ht="11.25">
      <c r="A271" s="112" t="s">
        <v>473</v>
      </c>
      <c r="D271" s="15" t="s">
        <v>14</v>
      </c>
      <c r="H271" s="478"/>
      <c r="I271" s="87"/>
      <c r="J271" s="87"/>
      <c r="K271" s="480"/>
      <c r="L271" s="159"/>
      <c r="M271" s="56"/>
      <c r="N271" s="87"/>
      <c r="O271" s="32"/>
      <c r="P271" s="89"/>
      <c r="Q271" s="56"/>
      <c r="R271" s="87"/>
      <c r="S271" s="88"/>
      <c r="T271" s="89"/>
      <c r="U271" s="56"/>
      <c r="V271" s="87"/>
      <c r="W271" s="88"/>
      <c r="X271" s="229"/>
      <c r="Y271" s="230"/>
      <c r="Z271" s="189"/>
      <c r="AA271" s="190"/>
      <c r="AB271" s="229"/>
      <c r="AC271" s="230"/>
      <c r="AD271" s="189"/>
      <c r="AE271" s="190"/>
    </row>
    <row r="272" spans="1:31" ht="11.25">
      <c r="A272" s="112"/>
      <c r="C272" s="15" t="s">
        <v>15</v>
      </c>
      <c r="H272" s="478"/>
      <c r="I272" s="87"/>
      <c r="J272" s="87"/>
      <c r="K272" s="480"/>
      <c r="L272" s="159"/>
      <c r="M272" s="56"/>
      <c r="N272" s="87"/>
      <c r="O272" s="32"/>
      <c r="P272" s="89"/>
      <c r="Q272" s="56"/>
      <c r="R272" s="87"/>
      <c r="S272" s="88"/>
      <c r="T272" s="89"/>
      <c r="U272" s="56"/>
      <c r="V272" s="87"/>
      <c r="W272" s="88"/>
      <c r="X272" s="229"/>
      <c r="Y272" s="230"/>
      <c r="Z272" s="189"/>
      <c r="AA272" s="190"/>
      <c r="AB272" s="229"/>
      <c r="AC272" s="230"/>
      <c r="AD272" s="189"/>
      <c r="AE272" s="190"/>
    </row>
    <row r="273" spans="1:31" ht="11.25">
      <c r="A273" s="112" t="s">
        <v>474</v>
      </c>
      <c r="D273" s="15" t="s">
        <v>11</v>
      </c>
      <c r="H273" s="478"/>
      <c r="I273" s="87"/>
      <c r="J273" s="87"/>
      <c r="K273" s="480"/>
      <c r="L273" s="159"/>
      <c r="M273" s="56"/>
      <c r="N273" s="87"/>
      <c r="O273" s="32"/>
      <c r="P273" s="89"/>
      <c r="Q273" s="56"/>
      <c r="R273" s="87"/>
      <c r="S273" s="88"/>
      <c r="T273" s="89"/>
      <c r="U273" s="56"/>
      <c r="V273" s="87"/>
      <c r="W273" s="88"/>
      <c r="X273" s="229"/>
      <c r="Y273" s="230"/>
      <c r="Z273" s="189"/>
      <c r="AA273" s="190"/>
      <c r="AB273" s="229"/>
      <c r="AC273" s="230"/>
      <c r="AD273" s="189"/>
      <c r="AE273" s="190"/>
    </row>
    <row r="274" spans="1:31" ht="11.25">
      <c r="A274" s="112" t="s">
        <v>475</v>
      </c>
      <c r="D274" s="15" t="s">
        <v>12</v>
      </c>
      <c r="H274" s="478"/>
      <c r="I274" s="87"/>
      <c r="J274" s="87"/>
      <c r="K274" s="480"/>
      <c r="L274" s="159"/>
      <c r="M274" s="56"/>
      <c r="N274" s="87"/>
      <c r="O274" s="32"/>
      <c r="P274" s="89"/>
      <c r="Q274" s="56"/>
      <c r="R274" s="87"/>
      <c r="S274" s="88"/>
      <c r="T274" s="89"/>
      <c r="U274" s="56"/>
      <c r="V274" s="87"/>
      <c r="W274" s="88"/>
      <c r="X274" s="229"/>
      <c r="Y274" s="230"/>
      <c r="Z274" s="189"/>
      <c r="AA274" s="190"/>
      <c r="AB274" s="229"/>
      <c r="AC274" s="230"/>
      <c r="AD274" s="189"/>
      <c r="AE274" s="190"/>
    </row>
    <row r="275" spans="1:31" ht="11.25">
      <c r="A275" s="112" t="s">
        <v>476</v>
      </c>
      <c r="D275" s="15" t="s">
        <v>13</v>
      </c>
      <c r="H275" s="478"/>
      <c r="I275" s="87"/>
      <c r="J275" s="87"/>
      <c r="K275" s="480"/>
      <c r="L275" s="159"/>
      <c r="M275" s="56"/>
      <c r="N275" s="87"/>
      <c r="O275" s="32"/>
      <c r="P275" s="89"/>
      <c r="Q275" s="56"/>
      <c r="R275" s="87"/>
      <c r="S275" s="88"/>
      <c r="T275" s="89"/>
      <c r="U275" s="56"/>
      <c r="V275" s="87"/>
      <c r="W275" s="88"/>
      <c r="X275" s="229"/>
      <c r="Y275" s="230"/>
      <c r="Z275" s="189"/>
      <c r="AA275" s="190"/>
      <c r="AB275" s="229"/>
      <c r="AC275" s="230"/>
      <c r="AD275" s="189"/>
      <c r="AE275" s="190"/>
    </row>
    <row r="276" spans="1:31" ht="11.25">
      <c r="A276" s="112" t="s">
        <v>477</v>
      </c>
      <c r="D276" s="15" t="s">
        <v>14</v>
      </c>
      <c r="H276" s="478"/>
      <c r="I276" s="87"/>
      <c r="J276" s="87"/>
      <c r="K276" s="480"/>
      <c r="L276" s="159"/>
      <c r="M276" s="56"/>
      <c r="N276" s="87"/>
      <c r="O276" s="32"/>
      <c r="P276" s="89"/>
      <c r="Q276" s="56"/>
      <c r="R276" s="87"/>
      <c r="S276" s="88"/>
      <c r="T276" s="89"/>
      <c r="U276" s="56"/>
      <c r="V276" s="87"/>
      <c r="W276" s="88"/>
      <c r="X276" s="229"/>
      <c r="Y276" s="230"/>
      <c r="Z276" s="189"/>
      <c r="AA276" s="190"/>
      <c r="AB276" s="229"/>
      <c r="AC276" s="230"/>
      <c r="AD276" s="189"/>
      <c r="AE276" s="190"/>
    </row>
    <row r="277" spans="1:31" ht="11.25">
      <c r="A277" s="112"/>
      <c r="C277" s="15" t="s">
        <v>16</v>
      </c>
      <c r="H277" s="478">
        <f>SUM(H267:H276)</f>
        <v>0</v>
      </c>
      <c r="I277" s="87">
        <f>SUM(I267:I276)</f>
        <v>0</v>
      </c>
      <c r="J277" s="87">
        <f>SUM(J267:J276)</f>
        <v>0</v>
      </c>
      <c r="K277" s="480">
        <f>H277+I277+J277</f>
        <v>0</v>
      </c>
      <c r="L277" s="159"/>
      <c r="M277" s="56"/>
      <c r="N277" s="107"/>
      <c r="O277" s="32">
        <f>SUM(O267:O276)</f>
        <v>0</v>
      </c>
      <c r="P277" s="89"/>
      <c r="Q277" s="56"/>
      <c r="R277" s="107"/>
      <c r="S277" s="88">
        <f>SUM(S267:S276)</f>
        <v>0</v>
      </c>
      <c r="T277" s="89"/>
      <c r="U277" s="56"/>
      <c r="V277" s="107"/>
      <c r="W277" s="88">
        <f>SUM(W267:W276)</f>
        <v>0</v>
      </c>
      <c r="X277" s="229"/>
      <c r="Y277" s="230"/>
      <c r="Z277" s="242"/>
      <c r="AA277" s="190">
        <v>0</v>
      </c>
      <c r="AB277" s="229"/>
      <c r="AC277" s="230"/>
      <c r="AD277" s="242"/>
      <c r="AE277" s="190">
        <v>0</v>
      </c>
    </row>
    <row r="278" spans="1:31" ht="11.25">
      <c r="A278" s="112"/>
      <c r="C278" s="15" t="s">
        <v>10</v>
      </c>
      <c r="H278" s="478"/>
      <c r="I278" s="87"/>
      <c r="J278" s="87"/>
      <c r="K278" s="480"/>
      <c r="L278" s="159"/>
      <c r="M278" s="56"/>
      <c r="N278" s="87"/>
      <c r="O278" s="32"/>
      <c r="P278" s="89"/>
      <c r="Q278" s="56"/>
      <c r="R278" s="87"/>
      <c r="S278" s="88"/>
      <c r="T278" s="89"/>
      <c r="U278" s="56"/>
      <c r="V278" s="87"/>
      <c r="W278" s="88"/>
      <c r="X278" s="229"/>
      <c r="Y278" s="230"/>
      <c r="Z278" s="189"/>
      <c r="AA278" s="190"/>
      <c r="AB278" s="229"/>
      <c r="AC278" s="230"/>
      <c r="AD278" s="189"/>
      <c r="AE278" s="190"/>
    </row>
    <row r="279" spans="1:31" ht="11.25">
      <c r="A279" s="112" t="s">
        <v>478</v>
      </c>
      <c r="D279" s="15" t="s">
        <v>17</v>
      </c>
      <c r="H279" s="478"/>
      <c r="I279" s="87"/>
      <c r="J279" s="87"/>
      <c r="K279" s="480"/>
      <c r="L279" s="159"/>
      <c r="M279" s="56"/>
      <c r="N279" s="87"/>
      <c r="O279" s="32"/>
      <c r="P279" s="89"/>
      <c r="Q279" s="56"/>
      <c r="R279" s="87"/>
      <c r="S279" s="88"/>
      <c r="T279" s="89"/>
      <c r="U279" s="56"/>
      <c r="V279" s="87"/>
      <c r="W279" s="88"/>
      <c r="X279" s="229"/>
      <c r="Y279" s="230"/>
      <c r="Z279" s="189"/>
      <c r="AA279" s="190"/>
      <c r="AB279" s="229"/>
      <c r="AC279" s="230"/>
      <c r="AD279" s="189"/>
      <c r="AE279" s="190"/>
    </row>
    <row r="280" spans="1:31" ht="11.25">
      <c r="A280" s="112" t="s">
        <v>479</v>
      </c>
      <c r="D280" s="15" t="s">
        <v>18</v>
      </c>
      <c r="H280" s="478"/>
      <c r="I280" s="87"/>
      <c r="J280" s="87"/>
      <c r="K280" s="480"/>
      <c r="L280" s="159"/>
      <c r="M280" s="56"/>
      <c r="N280" s="87"/>
      <c r="O280" s="32"/>
      <c r="P280" s="89"/>
      <c r="Q280" s="56"/>
      <c r="R280" s="87"/>
      <c r="S280" s="88"/>
      <c r="T280" s="89"/>
      <c r="U280" s="56"/>
      <c r="V280" s="87"/>
      <c r="W280" s="88"/>
      <c r="X280" s="229"/>
      <c r="Y280" s="230"/>
      <c r="Z280" s="189"/>
      <c r="AA280" s="190"/>
      <c r="AB280" s="229"/>
      <c r="AC280" s="230"/>
      <c r="AD280" s="189"/>
      <c r="AE280" s="190"/>
    </row>
    <row r="281" spans="1:31" ht="11.25">
      <c r="A281" s="112"/>
      <c r="C281" s="15" t="s">
        <v>15</v>
      </c>
      <c r="H281" s="478"/>
      <c r="I281" s="87"/>
      <c r="J281" s="87"/>
      <c r="K281" s="480"/>
      <c r="L281" s="159"/>
      <c r="M281" s="56"/>
      <c r="N281" s="87"/>
      <c r="O281" s="32"/>
      <c r="P281" s="89"/>
      <c r="Q281" s="56"/>
      <c r="R281" s="87"/>
      <c r="S281" s="88"/>
      <c r="T281" s="89"/>
      <c r="U281" s="56"/>
      <c r="V281" s="87"/>
      <c r="W281" s="88"/>
      <c r="X281" s="229"/>
      <c r="Y281" s="230"/>
      <c r="Z281" s="189"/>
      <c r="AA281" s="190"/>
      <c r="AB281" s="229"/>
      <c r="AC281" s="230"/>
      <c r="AD281" s="189"/>
      <c r="AE281" s="190"/>
    </row>
    <row r="282" spans="1:31" ht="11.25">
      <c r="A282" s="112" t="s">
        <v>479</v>
      </c>
      <c r="D282" s="15" t="s">
        <v>17</v>
      </c>
      <c r="H282" s="478"/>
      <c r="I282" s="87"/>
      <c r="J282" s="87"/>
      <c r="K282" s="480"/>
      <c r="L282" s="159"/>
      <c r="M282" s="56"/>
      <c r="N282" s="87"/>
      <c r="O282" s="32"/>
      <c r="P282" s="89"/>
      <c r="Q282" s="56"/>
      <c r="R282" s="87"/>
      <c r="S282" s="88"/>
      <c r="T282" s="89"/>
      <c r="U282" s="56"/>
      <c r="V282" s="87"/>
      <c r="W282" s="88"/>
      <c r="X282" s="229"/>
      <c r="Y282" s="230"/>
      <c r="Z282" s="189"/>
      <c r="AA282" s="190"/>
      <c r="AB282" s="229"/>
      <c r="AC282" s="230"/>
      <c r="AD282" s="189"/>
      <c r="AE282" s="190"/>
    </row>
    <row r="283" spans="1:31" ht="11.25">
      <c r="A283" s="112" t="s">
        <v>480</v>
      </c>
      <c r="D283" s="15" t="s">
        <v>19</v>
      </c>
      <c r="H283" s="481"/>
      <c r="I283" s="87"/>
      <c r="J283" s="87"/>
      <c r="K283" s="480"/>
      <c r="L283" s="159"/>
      <c r="M283" s="56"/>
      <c r="N283" s="87"/>
      <c r="O283" s="32"/>
      <c r="P283" s="89"/>
      <c r="Q283" s="56"/>
      <c r="R283" s="87"/>
      <c r="S283" s="88"/>
      <c r="T283" s="89"/>
      <c r="U283" s="56"/>
      <c r="V283" s="87"/>
      <c r="W283" s="88"/>
      <c r="X283" s="229"/>
      <c r="Y283" s="230"/>
      <c r="Z283" s="189"/>
      <c r="AA283" s="190"/>
      <c r="AB283" s="229"/>
      <c r="AC283" s="230"/>
      <c r="AD283" s="189"/>
      <c r="AE283" s="190"/>
    </row>
    <row r="284" spans="1:31" ht="11.25">
      <c r="A284" s="112"/>
      <c r="C284" s="15" t="s">
        <v>20</v>
      </c>
      <c r="H284" s="478">
        <f>SUM(H278:H283)</f>
        <v>0</v>
      </c>
      <c r="I284" s="87">
        <f>SUM(I278:I283)</f>
        <v>0</v>
      </c>
      <c r="J284" s="87">
        <f>SUM(J278:J283)</f>
        <v>0</v>
      </c>
      <c r="K284" s="480">
        <f>H284+I284+J284</f>
        <v>0</v>
      </c>
      <c r="L284" s="159"/>
      <c r="M284" s="56"/>
      <c r="N284" s="107"/>
      <c r="O284" s="32">
        <f>SUM(O278:O283)</f>
        <v>0</v>
      </c>
      <c r="P284" s="89"/>
      <c r="Q284" s="56"/>
      <c r="R284" s="107"/>
      <c r="S284" s="88">
        <f>SUM(S278:S283)</f>
        <v>0</v>
      </c>
      <c r="T284" s="89"/>
      <c r="U284" s="56"/>
      <c r="V284" s="107"/>
      <c r="W284" s="88">
        <f>SUM(W278:W283)</f>
        <v>0</v>
      </c>
      <c r="X284" s="229"/>
      <c r="Y284" s="230"/>
      <c r="Z284" s="242"/>
      <c r="AA284" s="190">
        <f>SUM(AA278:AA283)</f>
        <v>0</v>
      </c>
      <c r="AB284" s="229"/>
      <c r="AC284" s="230"/>
      <c r="AD284" s="242"/>
      <c r="AE284" s="190">
        <f>SUM(AE278:AE283)</f>
        <v>0</v>
      </c>
    </row>
    <row r="285" spans="1:31" ht="11.25">
      <c r="A285" s="112"/>
      <c r="B285" s="98" t="s">
        <v>216</v>
      </c>
      <c r="H285" s="478">
        <f>H265+H277+H284</f>
        <v>189629</v>
      </c>
      <c r="I285" s="87">
        <f>I265+I277+I284</f>
        <v>106265</v>
      </c>
      <c r="J285" s="87">
        <f>J265+J277+J284</f>
        <v>10000</v>
      </c>
      <c r="K285" s="480">
        <f>K265+K277+K284</f>
        <v>305894</v>
      </c>
      <c r="L285" s="159" t="s">
        <v>208</v>
      </c>
      <c r="M285" s="56">
        <v>6</v>
      </c>
      <c r="N285" s="87">
        <f>O285/M285</f>
        <v>50982.333333333336</v>
      </c>
      <c r="O285" s="32">
        <f>O265+O277+O284</f>
        <v>305894</v>
      </c>
      <c r="P285" s="89" t="s">
        <v>208</v>
      </c>
      <c r="Q285" s="56">
        <v>6</v>
      </c>
      <c r="R285" s="87">
        <f>S285/Q285</f>
        <v>50982.333333333336</v>
      </c>
      <c r="S285" s="88">
        <f>S265+S277+S284</f>
        <v>305894</v>
      </c>
      <c r="T285" s="89" t="s">
        <v>208</v>
      </c>
      <c r="U285" s="56">
        <v>6</v>
      </c>
      <c r="V285" s="87">
        <f>W285/U285</f>
        <v>50982.333333333336</v>
      </c>
      <c r="W285" s="88">
        <f>W265+W277+W284</f>
        <v>305894</v>
      </c>
      <c r="X285" s="229" t="s">
        <v>208</v>
      </c>
      <c r="Y285" s="230">
        <v>6</v>
      </c>
      <c r="Z285" s="189">
        <f>AA285/Y285</f>
        <v>50982.333333333336</v>
      </c>
      <c r="AA285" s="190">
        <f>AA265+AA277+AA284</f>
        <v>305894</v>
      </c>
      <c r="AB285" s="229" t="s">
        <v>208</v>
      </c>
      <c r="AC285" s="230">
        <v>6</v>
      </c>
      <c r="AD285" s="189">
        <f>AE285/AC285</f>
        <v>50982.333333333336</v>
      </c>
      <c r="AE285" s="190">
        <f>AE265+AE277+AE284</f>
        <v>305894</v>
      </c>
    </row>
    <row r="286" spans="1:31" ht="11.25">
      <c r="A286" s="97"/>
      <c r="H286" s="478"/>
      <c r="I286" s="87"/>
      <c r="J286" s="87"/>
      <c r="K286" s="480"/>
      <c r="L286" s="397"/>
      <c r="M286" s="332"/>
      <c r="N286" s="341"/>
      <c r="O286" s="379"/>
      <c r="P286" s="435"/>
      <c r="Q286" s="110"/>
      <c r="R286" s="110"/>
      <c r="S286" s="111"/>
      <c r="T286" s="408"/>
      <c r="U286" s="245"/>
      <c r="V286" s="245"/>
      <c r="W286" s="246"/>
      <c r="X286" s="244"/>
      <c r="Y286" s="245"/>
      <c r="Z286" s="245"/>
      <c r="AA286" s="246"/>
      <c r="AB286" s="244"/>
      <c r="AC286" s="245"/>
      <c r="AD286" s="245"/>
      <c r="AE286" s="246"/>
    </row>
    <row r="287" spans="1:31" ht="11.25">
      <c r="A287" s="97" t="s">
        <v>53</v>
      </c>
      <c r="B287" s="98" t="s">
        <v>219</v>
      </c>
      <c r="C287" s="98"/>
      <c r="D287" s="98"/>
      <c r="E287" s="98"/>
      <c r="F287" s="98"/>
      <c r="G287" s="98"/>
      <c r="H287" s="261"/>
      <c r="I287" s="189"/>
      <c r="J287" s="189"/>
      <c r="K287" s="487"/>
      <c r="L287" s="417"/>
      <c r="M287" s="230"/>
      <c r="N287" s="189"/>
      <c r="O287" s="45"/>
      <c r="P287" s="124"/>
      <c r="Q287" s="113"/>
      <c r="R287" s="100"/>
      <c r="S287" s="36"/>
      <c r="T287" s="191"/>
      <c r="U287" s="113"/>
      <c r="V287" s="100"/>
      <c r="W287" s="36"/>
      <c r="X287" s="229"/>
      <c r="Y287" s="113"/>
      <c r="Z287" s="100"/>
      <c r="AA287" s="36"/>
      <c r="AB287" s="229"/>
      <c r="AC287" s="113"/>
      <c r="AD287" s="100"/>
      <c r="AE287" s="36"/>
    </row>
    <row r="288" spans="1:31" ht="11.25">
      <c r="A288" s="97"/>
      <c r="B288" s="98"/>
      <c r="C288" s="15" t="s">
        <v>31</v>
      </c>
      <c r="E288" s="98"/>
      <c r="F288" s="98"/>
      <c r="G288" s="98"/>
      <c r="H288" s="481"/>
      <c r="I288" s="84"/>
      <c r="J288" s="84"/>
      <c r="K288" s="482"/>
      <c r="L288" s="159"/>
      <c r="M288" s="56"/>
      <c r="N288" s="87"/>
      <c r="O288" s="32"/>
      <c r="P288" s="124"/>
      <c r="Q288" s="113"/>
      <c r="R288" s="87"/>
      <c r="S288" s="36"/>
      <c r="T288" s="191"/>
      <c r="U288" s="113"/>
      <c r="V288" s="189"/>
      <c r="W288" s="36"/>
      <c r="X288" s="229"/>
      <c r="Y288" s="113"/>
      <c r="Z288" s="189"/>
      <c r="AA288" s="36"/>
      <c r="AB288" s="229"/>
      <c r="AC288" s="113"/>
      <c r="AD288" s="189"/>
      <c r="AE288" s="36"/>
    </row>
    <row r="289" spans="1:31" ht="11.25">
      <c r="A289" s="97" t="s">
        <v>481</v>
      </c>
      <c r="B289" s="98"/>
      <c r="D289" s="15" t="s">
        <v>177</v>
      </c>
      <c r="E289" s="98"/>
      <c r="F289" s="98"/>
      <c r="G289" s="98"/>
      <c r="H289" s="261">
        <f>8691+5794+900</f>
        <v>15385</v>
      </c>
      <c r="I289" s="189">
        <f>4071+2714</f>
        <v>6785</v>
      </c>
      <c r="J289" s="189">
        <v>0</v>
      </c>
      <c r="K289" s="480">
        <f>H289+I289+J289</f>
        <v>22170</v>
      </c>
      <c r="L289" s="417" t="s">
        <v>208</v>
      </c>
      <c r="M289" s="230">
        <v>2</v>
      </c>
      <c r="N289" s="87">
        <f>O289/M289</f>
        <v>11085</v>
      </c>
      <c r="O289" s="32">
        <f>K289</f>
        <v>22170</v>
      </c>
      <c r="P289" s="124" t="s">
        <v>208</v>
      </c>
      <c r="Q289" s="230">
        <v>2</v>
      </c>
      <c r="R289" s="87">
        <f>S289/Q289</f>
        <v>11085</v>
      </c>
      <c r="S289" s="88">
        <f>O289</f>
        <v>22170</v>
      </c>
      <c r="T289" s="124" t="s">
        <v>208</v>
      </c>
      <c r="U289" s="230">
        <v>2</v>
      </c>
      <c r="V289" s="87">
        <f>W289/U289</f>
        <v>11085</v>
      </c>
      <c r="W289" s="88">
        <f>S289</f>
        <v>22170</v>
      </c>
      <c r="X289" s="229" t="s">
        <v>208</v>
      </c>
      <c r="Y289" s="230">
        <v>2</v>
      </c>
      <c r="Z289" s="189">
        <v>11085</v>
      </c>
      <c r="AA289" s="190">
        <v>22170</v>
      </c>
      <c r="AB289" s="229" t="s">
        <v>208</v>
      </c>
      <c r="AC289" s="230">
        <v>2</v>
      </c>
      <c r="AD289" s="189">
        <v>11085</v>
      </c>
      <c r="AE289" s="190">
        <v>22170</v>
      </c>
    </row>
    <row r="290" spans="1:31" ht="11.25">
      <c r="A290" s="97" t="s">
        <v>482</v>
      </c>
      <c r="B290" s="98"/>
      <c r="D290" s="15" t="s">
        <v>178</v>
      </c>
      <c r="E290" s="98"/>
      <c r="F290" s="98"/>
      <c r="G290" s="98"/>
      <c r="H290" s="261"/>
      <c r="I290" s="189"/>
      <c r="J290" s="189"/>
      <c r="K290" s="487"/>
      <c r="L290" s="417"/>
      <c r="M290" s="230"/>
      <c r="N290" s="189"/>
      <c r="O290" s="45"/>
      <c r="P290" s="124"/>
      <c r="Q290" s="230"/>
      <c r="R290" s="189"/>
      <c r="S290" s="190"/>
      <c r="T290" s="124"/>
      <c r="U290" s="230"/>
      <c r="V290" s="189"/>
      <c r="W290" s="190"/>
      <c r="X290" s="229"/>
      <c r="Y290" s="230"/>
      <c r="Z290" s="189"/>
      <c r="AA290" s="190"/>
      <c r="AB290" s="229"/>
      <c r="AC290" s="230"/>
      <c r="AD290" s="189"/>
      <c r="AE290" s="190"/>
    </row>
    <row r="291" spans="1:31" ht="11.25">
      <c r="A291" s="112"/>
      <c r="C291" s="15" t="s">
        <v>10</v>
      </c>
      <c r="H291" s="478"/>
      <c r="I291" s="87"/>
      <c r="J291" s="87"/>
      <c r="K291" s="480"/>
      <c r="L291" s="159"/>
      <c r="M291" s="56"/>
      <c r="N291" s="87"/>
      <c r="O291" s="32"/>
      <c r="P291" s="89"/>
      <c r="Q291" s="56"/>
      <c r="R291" s="87"/>
      <c r="S291" s="88"/>
      <c r="T291" s="89"/>
      <c r="U291" s="56"/>
      <c r="V291" s="87"/>
      <c r="W291" s="88"/>
      <c r="X291" s="229"/>
      <c r="Y291" s="230"/>
      <c r="Z291" s="189"/>
      <c r="AA291" s="190"/>
      <c r="AB291" s="229"/>
      <c r="AC291" s="230"/>
      <c r="AD291" s="189"/>
      <c r="AE291" s="190"/>
    </row>
    <row r="292" spans="1:31" ht="11.25">
      <c r="A292" s="112" t="s">
        <v>483</v>
      </c>
      <c r="D292" s="15" t="s">
        <v>11</v>
      </c>
      <c r="H292" s="478">
        <f>240+1191+120+455+314</f>
        <v>2320</v>
      </c>
      <c r="I292" s="87">
        <f>412+1926+163</f>
        <v>2501</v>
      </c>
      <c r="J292" s="87">
        <v>0</v>
      </c>
      <c r="K292" s="480">
        <f>H292+I292+J292</f>
        <v>4821</v>
      </c>
      <c r="L292" s="159" t="s">
        <v>213</v>
      </c>
      <c r="M292" s="56">
        <v>880</v>
      </c>
      <c r="N292" s="107">
        <f>O292/M292</f>
        <v>5.478409090909091</v>
      </c>
      <c r="O292" s="32">
        <f>K292</f>
        <v>4821</v>
      </c>
      <c r="P292" s="89" t="s">
        <v>213</v>
      </c>
      <c r="Q292" s="56">
        <v>880</v>
      </c>
      <c r="R292" s="107">
        <f>S292/Q292</f>
        <v>5.478409090909091</v>
      </c>
      <c r="S292" s="88">
        <f>O292</f>
        <v>4821</v>
      </c>
      <c r="T292" s="89" t="s">
        <v>213</v>
      </c>
      <c r="U292" s="56">
        <v>880</v>
      </c>
      <c r="V292" s="107">
        <f>W292/U292</f>
        <v>5.478409090909091</v>
      </c>
      <c r="W292" s="88">
        <f>S292</f>
        <v>4821</v>
      </c>
      <c r="X292" s="229" t="s">
        <v>213</v>
      </c>
      <c r="Y292" s="230">
        <v>880</v>
      </c>
      <c r="Z292" s="242">
        <v>5.478409090909091</v>
      </c>
      <c r="AA292" s="190">
        <v>4821</v>
      </c>
      <c r="AB292" s="229" t="s">
        <v>213</v>
      </c>
      <c r="AC292" s="230">
        <v>880</v>
      </c>
      <c r="AD292" s="242">
        <v>5.478409090909091</v>
      </c>
      <c r="AE292" s="190">
        <v>4821</v>
      </c>
    </row>
    <row r="293" spans="1:31" ht="11.25">
      <c r="A293" s="112" t="s">
        <v>484</v>
      </c>
      <c r="D293" s="15" t="s">
        <v>12</v>
      </c>
      <c r="H293" s="478"/>
      <c r="I293" s="87"/>
      <c r="J293" s="87"/>
      <c r="K293" s="480"/>
      <c r="L293" s="159"/>
      <c r="M293" s="56"/>
      <c r="N293" s="87"/>
      <c r="O293" s="32"/>
      <c r="P293" s="89"/>
      <c r="Q293" s="56"/>
      <c r="R293" s="96"/>
      <c r="S293" s="33"/>
      <c r="T293" s="89"/>
      <c r="U293" s="56"/>
      <c r="V293" s="96"/>
      <c r="W293" s="33"/>
      <c r="X293" s="229"/>
      <c r="Y293" s="230"/>
      <c r="Z293" s="100"/>
      <c r="AA293" s="36"/>
      <c r="AB293" s="229"/>
      <c r="AC293" s="230"/>
      <c r="AD293" s="100"/>
      <c r="AE293" s="36"/>
    </row>
    <row r="294" spans="1:31" ht="11.25">
      <c r="A294" s="112" t="s">
        <v>485</v>
      </c>
      <c r="D294" s="15" t="s">
        <v>13</v>
      </c>
      <c r="H294" s="478"/>
      <c r="I294" s="87"/>
      <c r="J294" s="87"/>
      <c r="K294" s="480"/>
      <c r="L294" s="159"/>
      <c r="M294" s="56"/>
      <c r="N294" s="87"/>
      <c r="O294" s="32"/>
      <c r="P294" s="89"/>
      <c r="Q294" s="56"/>
      <c r="R294" s="86"/>
      <c r="S294" s="33"/>
      <c r="T294" s="89"/>
      <c r="U294" s="56"/>
      <c r="V294" s="86"/>
      <c r="W294" s="33"/>
      <c r="X294" s="229"/>
      <c r="Y294" s="230"/>
      <c r="Z294" s="192"/>
      <c r="AA294" s="36"/>
      <c r="AB294" s="229"/>
      <c r="AC294" s="230"/>
      <c r="AD294" s="192"/>
      <c r="AE294" s="36"/>
    </row>
    <row r="295" spans="1:31" ht="11.25">
      <c r="A295" s="112" t="s">
        <v>486</v>
      </c>
      <c r="D295" s="15" t="s">
        <v>14</v>
      </c>
      <c r="H295" s="478"/>
      <c r="I295" s="87"/>
      <c r="J295" s="87"/>
      <c r="K295" s="480"/>
      <c r="L295" s="159"/>
      <c r="M295" s="56"/>
      <c r="N295" s="87"/>
      <c r="O295" s="32"/>
      <c r="P295" s="89"/>
      <c r="Q295" s="56"/>
      <c r="R295" s="86"/>
      <c r="S295" s="33"/>
      <c r="T295" s="89"/>
      <c r="U295" s="56"/>
      <c r="V295" s="86"/>
      <c r="W295" s="33"/>
      <c r="X295" s="229"/>
      <c r="Y295" s="230"/>
      <c r="Z295" s="192"/>
      <c r="AA295" s="36"/>
      <c r="AB295" s="229"/>
      <c r="AC295" s="230"/>
      <c r="AD295" s="192"/>
      <c r="AE295" s="36"/>
    </row>
    <row r="296" spans="1:31" ht="11.25">
      <c r="A296" s="112"/>
      <c r="C296" s="15" t="s">
        <v>15</v>
      </c>
      <c r="H296" s="478"/>
      <c r="I296" s="87"/>
      <c r="J296" s="87"/>
      <c r="K296" s="480"/>
      <c r="L296" s="159"/>
      <c r="M296" s="56"/>
      <c r="N296" s="87"/>
      <c r="O296" s="32"/>
      <c r="P296" s="89"/>
      <c r="Q296" s="56"/>
      <c r="R296" s="86"/>
      <c r="S296" s="33"/>
      <c r="T296" s="89"/>
      <c r="U296" s="56"/>
      <c r="V296" s="86"/>
      <c r="W296" s="33"/>
      <c r="X296" s="229"/>
      <c r="Y296" s="230"/>
      <c r="Z296" s="192"/>
      <c r="AA296" s="36"/>
      <c r="AB296" s="229"/>
      <c r="AC296" s="230"/>
      <c r="AD296" s="192"/>
      <c r="AE296" s="36"/>
    </row>
    <row r="297" spans="1:31" ht="11.25">
      <c r="A297" s="112" t="s">
        <v>487</v>
      </c>
      <c r="D297" s="15" t="s">
        <v>11</v>
      </c>
      <c r="H297" s="478"/>
      <c r="I297" s="87"/>
      <c r="J297" s="87"/>
      <c r="K297" s="480"/>
      <c r="L297" s="159"/>
      <c r="M297" s="56"/>
      <c r="N297" s="87"/>
      <c r="O297" s="32"/>
      <c r="P297" s="89"/>
      <c r="Q297" s="56"/>
      <c r="R297" s="86"/>
      <c r="S297" s="33"/>
      <c r="T297" s="89"/>
      <c r="U297" s="56"/>
      <c r="V297" s="86"/>
      <c r="W297" s="33"/>
      <c r="X297" s="229"/>
      <c r="Y297" s="230"/>
      <c r="Z297" s="192"/>
      <c r="AA297" s="36"/>
      <c r="AB297" s="229"/>
      <c r="AC297" s="230"/>
      <c r="AD297" s="192"/>
      <c r="AE297" s="36"/>
    </row>
    <row r="298" spans="1:31" ht="11.25">
      <c r="A298" s="112" t="s">
        <v>488</v>
      </c>
      <c r="D298" s="15" t="s">
        <v>12</v>
      </c>
      <c r="H298" s="478"/>
      <c r="I298" s="87"/>
      <c r="J298" s="87"/>
      <c r="K298" s="480"/>
      <c r="L298" s="159"/>
      <c r="M298" s="56"/>
      <c r="N298" s="87"/>
      <c r="O298" s="32"/>
      <c r="P298" s="89"/>
      <c r="Q298" s="56"/>
      <c r="R298" s="96"/>
      <c r="S298" s="33"/>
      <c r="T298" s="89"/>
      <c r="U298" s="56"/>
      <c r="V298" s="96"/>
      <c r="W298" s="33"/>
      <c r="X298" s="229"/>
      <c r="Y298" s="230"/>
      <c r="Z298" s="100"/>
      <c r="AA298" s="36"/>
      <c r="AB298" s="229"/>
      <c r="AC298" s="230"/>
      <c r="AD298" s="100"/>
      <c r="AE298" s="36"/>
    </row>
    <row r="299" spans="1:31" ht="11.25">
      <c r="A299" s="112" t="s">
        <v>489</v>
      </c>
      <c r="D299" s="15" t="s">
        <v>13</v>
      </c>
      <c r="H299" s="478"/>
      <c r="I299" s="87"/>
      <c r="J299" s="87"/>
      <c r="K299" s="480"/>
      <c r="L299" s="159"/>
      <c r="M299" s="56"/>
      <c r="N299" s="87"/>
      <c r="O299" s="32"/>
      <c r="P299" s="89"/>
      <c r="Q299" s="56"/>
      <c r="R299" s="86"/>
      <c r="S299" s="33"/>
      <c r="T299" s="89"/>
      <c r="U299" s="56"/>
      <c r="V299" s="86"/>
      <c r="W299" s="33"/>
      <c r="X299" s="229"/>
      <c r="Y299" s="230"/>
      <c r="Z299" s="192"/>
      <c r="AA299" s="36"/>
      <c r="AB299" s="229"/>
      <c r="AC299" s="230"/>
      <c r="AD299" s="192"/>
      <c r="AE299" s="36"/>
    </row>
    <row r="300" spans="1:31" ht="11.25">
      <c r="A300" s="112" t="s">
        <v>490</v>
      </c>
      <c r="D300" s="15" t="s">
        <v>14</v>
      </c>
      <c r="H300" s="478"/>
      <c r="I300" s="87"/>
      <c r="J300" s="87"/>
      <c r="K300" s="480"/>
      <c r="L300" s="159"/>
      <c r="M300" s="56"/>
      <c r="N300" s="87"/>
      <c r="O300" s="32"/>
      <c r="P300" s="89"/>
      <c r="Q300" s="56"/>
      <c r="R300" s="86"/>
      <c r="S300" s="33"/>
      <c r="T300" s="89"/>
      <c r="U300" s="56"/>
      <c r="V300" s="86"/>
      <c r="W300" s="33"/>
      <c r="X300" s="229"/>
      <c r="Y300" s="230"/>
      <c r="Z300" s="192"/>
      <c r="AA300" s="36"/>
      <c r="AB300" s="229"/>
      <c r="AC300" s="230"/>
      <c r="AD300" s="192"/>
      <c r="AE300" s="36"/>
    </row>
    <row r="301" spans="1:31" ht="11.25">
      <c r="A301" s="112"/>
      <c r="C301" s="15" t="s">
        <v>16</v>
      </c>
      <c r="H301" s="478">
        <f>SUM(H291:H300)</f>
        <v>2320</v>
      </c>
      <c r="I301" s="87">
        <f>SUM(I291:I300)</f>
        <v>2501</v>
      </c>
      <c r="J301" s="87">
        <f>SUM(J291:J300)</f>
        <v>0</v>
      </c>
      <c r="K301" s="480">
        <f>H301+I301+J301</f>
        <v>4821</v>
      </c>
      <c r="L301" s="159" t="s">
        <v>213</v>
      </c>
      <c r="M301" s="56">
        <v>880</v>
      </c>
      <c r="N301" s="107">
        <f>O301/M301</f>
        <v>5.478409090909091</v>
      </c>
      <c r="O301" s="32">
        <f>SUM(O291:O300)</f>
        <v>4821</v>
      </c>
      <c r="P301" s="89" t="s">
        <v>213</v>
      </c>
      <c r="Q301" s="56">
        <v>880</v>
      </c>
      <c r="R301" s="107">
        <f>S301/Q301</f>
        <v>5.478409090909091</v>
      </c>
      <c r="S301" s="88">
        <f>SUM(S291:S300)</f>
        <v>4821</v>
      </c>
      <c r="T301" s="89" t="s">
        <v>213</v>
      </c>
      <c r="U301" s="56">
        <v>880</v>
      </c>
      <c r="V301" s="107">
        <f>W301/U301</f>
        <v>5.478409090909091</v>
      </c>
      <c r="W301" s="88">
        <f>SUM(W291:W300)</f>
        <v>4821</v>
      </c>
      <c r="X301" s="229" t="s">
        <v>213</v>
      </c>
      <c r="Y301" s="230">
        <v>880</v>
      </c>
      <c r="Z301" s="242">
        <f>AA301/Y301</f>
        <v>5.478409090909091</v>
      </c>
      <c r="AA301" s="190">
        <f>SUM(AA291:AA300)</f>
        <v>4821</v>
      </c>
      <c r="AB301" s="229" t="s">
        <v>213</v>
      </c>
      <c r="AC301" s="230">
        <v>880</v>
      </c>
      <c r="AD301" s="242">
        <f>AE301/AC301</f>
        <v>5.478409090909091</v>
      </c>
      <c r="AE301" s="190">
        <f>SUM(AE291:AE300)</f>
        <v>4821</v>
      </c>
    </row>
    <row r="302" spans="1:31" ht="11.25">
      <c r="A302" s="112"/>
      <c r="C302" s="15" t="s">
        <v>10</v>
      </c>
      <c r="H302" s="478"/>
      <c r="I302" s="87"/>
      <c r="J302" s="87"/>
      <c r="K302" s="480"/>
      <c r="L302" s="159"/>
      <c r="M302" s="56"/>
      <c r="N302" s="87"/>
      <c r="O302" s="32"/>
      <c r="P302" s="89"/>
      <c r="Q302" s="56"/>
      <c r="R302" s="86"/>
      <c r="S302" s="33"/>
      <c r="T302" s="89"/>
      <c r="U302" s="56"/>
      <c r="V302" s="86"/>
      <c r="W302" s="33"/>
      <c r="X302" s="229"/>
      <c r="Y302" s="230"/>
      <c r="Z302" s="192"/>
      <c r="AA302" s="36"/>
      <c r="AB302" s="229"/>
      <c r="AC302" s="230"/>
      <c r="AD302" s="192"/>
      <c r="AE302" s="36"/>
    </row>
    <row r="303" spans="1:31" ht="11.25">
      <c r="A303" s="112" t="s">
        <v>491</v>
      </c>
      <c r="D303" s="15" t="s">
        <v>17</v>
      </c>
      <c r="H303" s="478"/>
      <c r="I303" s="87"/>
      <c r="J303" s="87"/>
      <c r="K303" s="480"/>
      <c r="L303" s="159"/>
      <c r="M303" s="56"/>
      <c r="N303" s="87"/>
      <c r="O303" s="32"/>
      <c r="P303" s="89"/>
      <c r="Q303" s="56"/>
      <c r="R303" s="96"/>
      <c r="S303" s="33"/>
      <c r="T303" s="89"/>
      <c r="U303" s="56"/>
      <c r="V303" s="96"/>
      <c r="W303" s="33"/>
      <c r="X303" s="229"/>
      <c r="Y303" s="230"/>
      <c r="Z303" s="100"/>
      <c r="AA303" s="36"/>
      <c r="AB303" s="229"/>
      <c r="AC303" s="230"/>
      <c r="AD303" s="100"/>
      <c r="AE303" s="36"/>
    </row>
    <row r="304" spans="1:31" ht="11.25">
      <c r="A304" s="112" t="s">
        <v>492</v>
      </c>
      <c r="D304" s="15" t="s">
        <v>18</v>
      </c>
      <c r="H304" s="478"/>
      <c r="I304" s="87"/>
      <c r="J304" s="87"/>
      <c r="K304" s="480"/>
      <c r="L304" s="159"/>
      <c r="M304" s="56"/>
      <c r="N304" s="87"/>
      <c r="O304" s="32"/>
      <c r="P304" s="89"/>
      <c r="Q304" s="56"/>
      <c r="R304" s="87"/>
      <c r="S304" s="33"/>
      <c r="T304" s="89"/>
      <c r="U304" s="56"/>
      <c r="V304" s="87"/>
      <c r="W304" s="33"/>
      <c r="X304" s="229"/>
      <c r="Y304" s="230"/>
      <c r="Z304" s="189"/>
      <c r="AA304" s="36"/>
      <c r="AB304" s="229"/>
      <c r="AC304" s="230"/>
      <c r="AD304" s="189"/>
      <c r="AE304" s="36"/>
    </row>
    <row r="305" spans="1:31" ht="11.25">
      <c r="A305" s="112"/>
      <c r="C305" s="15" t="s">
        <v>15</v>
      </c>
      <c r="H305" s="478"/>
      <c r="I305" s="87"/>
      <c r="J305" s="87"/>
      <c r="K305" s="480"/>
      <c r="L305" s="159"/>
      <c r="M305" s="56"/>
      <c r="N305" s="87"/>
      <c r="O305" s="32"/>
      <c r="P305" s="89"/>
      <c r="Q305" s="56"/>
      <c r="R305" s="96"/>
      <c r="S305" s="33"/>
      <c r="T305" s="89"/>
      <c r="U305" s="56"/>
      <c r="V305" s="96"/>
      <c r="W305" s="33"/>
      <c r="X305" s="229"/>
      <c r="Y305" s="230"/>
      <c r="Z305" s="100"/>
      <c r="AA305" s="36"/>
      <c r="AB305" s="229"/>
      <c r="AC305" s="230"/>
      <c r="AD305" s="100"/>
      <c r="AE305" s="36"/>
    </row>
    <row r="306" spans="1:31" ht="11.25">
      <c r="A306" s="112" t="s">
        <v>493</v>
      </c>
      <c r="D306" s="15" t="s">
        <v>17</v>
      </c>
      <c r="H306" s="478"/>
      <c r="I306" s="87"/>
      <c r="J306" s="87"/>
      <c r="K306" s="480"/>
      <c r="L306" s="159"/>
      <c r="M306" s="56"/>
      <c r="N306" s="87"/>
      <c r="O306" s="32"/>
      <c r="P306" s="89"/>
      <c r="Q306" s="56"/>
      <c r="R306" s="96"/>
      <c r="S306" s="33"/>
      <c r="T306" s="89"/>
      <c r="U306" s="56"/>
      <c r="V306" s="96"/>
      <c r="W306" s="33"/>
      <c r="X306" s="229"/>
      <c r="Y306" s="230"/>
      <c r="Z306" s="100"/>
      <c r="AA306" s="36"/>
      <c r="AB306" s="229"/>
      <c r="AC306" s="230"/>
      <c r="AD306" s="100"/>
      <c r="AE306" s="36"/>
    </row>
    <row r="307" spans="1:31" ht="11.25">
      <c r="A307" s="112" t="s">
        <v>494</v>
      </c>
      <c r="D307" s="15" t="s">
        <v>19</v>
      </c>
      <c r="H307" s="481"/>
      <c r="I307" s="87"/>
      <c r="J307" s="87"/>
      <c r="K307" s="480"/>
      <c r="L307" s="159"/>
      <c r="M307" s="56"/>
      <c r="N307" s="87"/>
      <c r="O307" s="32"/>
      <c r="P307" s="89"/>
      <c r="Q307" s="56"/>
      <c r="R307" s="96"/>
      <c r="S307" s="33"/>
      <c r="T307" s="89"/>
      <c r="U307" s="56"/>
      <c r="V307" s="96"/>
      <c r="W307" s="33"/>
      <c r="X307" s="229"/>
      <c r="Y307" s="230"/>
      <c r="Z307" s="100"/>
      <c r="AA307" s="36"/>
      <c r="AB307" s="229"/>
      <c r="AC307" s="230"/>
      <c r="AD307" s="100"/>
      <c r="AE307" s="36"/>
    </row>
    <row r="308" spans="1:31" ht="11.25">
      <c r="A308" s="112"/>
      <c r="C308" s="15" t="s">
        <v>20</v>
      </c>
      <c r="H308" s="478">
        <f>SUM(H302:H307)</f>
        <v>0</v>
      </c>
      <c r="I308" s="87">
        <f>SUM(I302:I307)</f>
        <v>0</v>
      </c>
      <c r="J308" s="87">
        <f>SUM(J302:J307)</f>
        <v>0</v>
      </c>
      <c r="K308" s="480">
        <f>H308+I308+J308</f>
        <v>0</v>
      </c>
      <c r="L308" s="159"/>
      <c r="M308" s="56"/>
      <c r="N308" s="107"/>
      <c r="O308" s="32">
        <f>SUM(O302:O307)</f>
        <v>0</v>
      </c>
      <c r="P308" s="89"/>
      <c r="Q308" s="56"/>
      <c r="R308" s="107"/>
      <c r="S308" s="88">
        <f>SUM(S302:S307)</f>
        <v>0</v>
      </c>
      <c r="T308" s="89"/>
      <c r="U308" s="56"/>
      <c r="V308" s="107"/>
      <c r="W308" s="88">
        <f>SUM(W302:W307)</f>
        <v>0</v>
      </c>
      <c r="X308" s="229"/>
      <c r="Y308" s="230"/>
      <c r="Z308" s="242"/>
      <c r="AA308" s="190">
        <f>SUM(AA302:AA307)</f>
        <v>0</v>
      </c>
      <c r="AB308" s="229"/>
      <c r="AC308" s="230"/>
      <c r="AD308" s="242"/>
      <c r="AE308" s="190">
        <f>SUM(AE302:AE307)</f>
        <v>0</v>
      </c>
    </row>
    <row r="309" spans="1:31" ht="11.25">
      <c r="A309" s="112"/>
      <c r="B309" s="15" t="s">
        <v>220</v>
      </c>
      <c r="H309" s="478">
        <f>H289+H301+H308</f>
        <v>17705</v>
      </c>
      <c r="I309" s="87">
        <f>I289+I301+I308</f>
        <v>9286</v>
      </c>
      <c r="J309" s="87">
        <f>J289+J301+J308</f>
        <v>0</v>
      </c>
      <c r="K309" s="480">
        <f>K289+K301+K308</f>
        <v>26991</v>
      </c>
      <c r="L309" s="159" t="s">
        <v>213</v>
      </c>
      <c r="M309" s="56">
        <v>880</v>
      </c>
      <c r="N309" s="107">
        <f>O309/M309</f>
        <v>30.67159090909091</v>
      </c>
      <c r="O309" s="32">
        <f>O289+O301+O308</f>
        <v>26991</v>
      </c>
      <c r="P309" s="89" t="s">
        <v>213</v>
      </c>
      <c r="Q309" s="56">
        <v>880</v>
      </c>
      <c r="R309" s="107">
        <f>S309/Q309</f>
        <v>30.67159090909091</v>
      </c>
      <c r="S309" s="88">
        <f>S289+S301+S308</f>
        <v>26991</v>
      </c>
      <c r="T309" s="89" t="s">
        <v>213</v>
      </c>
      <c r="U309" s="56">
        <v>880</v>
      </c>
      <c r="V309" s="107">
        <f>W309/U309</f>
        <v>30.67159090909091</v>
      </c>
      <c r="W309" s="88">
        <f>W289+W301+W308</f>
        <v>26991</v>
      </c>
      <c r="X309" s="229" t="s">
        <v>213</v>
      </c>
      <c r="Y309" s="230">
        <v>880</v>
      </c>
      <c r="Z309" s="242">
        <f>AA309/Y309</f>
        <v>30.67159090909091</v>
      </c>
      <c r="AA309" s="190">
        <f>AA289+AA301+AA308</f>
        <v>26991</v>
      </c>
      <c r="AB309" s="229" t="s">
        <v>213</v>
      </c>
      <c r="AC309" s="230">
        <v>880</v>
      </c>
      <c r="AD309" s="242">
        <f>AE309/AC309</f>
        <v>30.67159090909091</v>
      </c>
      <c r="AE309" s="190">
        <f>AE289+AE301+AE308</f>
        <v>26991</v>
      </c>
    </row>
    <row r="310" spans="1:31" ht="11.25">
      <c r="A310" s="97"/>
      <c r="H310" s="478"/>
      <c r="I310" s="87"/>
      <c r="J310" s="87"/>
      <c r="K310" s="480"/>
      <c r="L310" s="397"/>
      <c r="M310" s="332"/>
      <c r="N310" s="341"/>
      <c r="O310" s="379"/>
      <c r="P310" s="435"/>
      <c r="Q310" s="110"/>
      <c r="R310" s="110"/>
      <c r="S310" s="111"/>
      <c r="T310" s="408"/>
      <c r="U310" s="245"/>
      <c r="V310" s="245"/>
      <c r="W310" s="246"/>
      <c r="X310" s="244"/>
      <c r="Y310" s="245"/>
      <c r="Z310" s="245"/>
      <c r="AA310" s="246"/>
      <c r="AB310" s="244"/>
      <c r="AC310" s="245"/>
      <c r="AD310" s="245"/>
      <c r="AE310" s="246"/>
    </row>
    <row r="311" spans="1:31" ht="11.25">
      <c r="A311" s="97" t="s">
        <v>159</v>
      </c>
      <c r="B311" s="98" t="s">
        <v>224</v>
      </c>
      <c r="C311" s="98"/>
      <c r="D311" s="98"/>
      <c r="E311" s="98"/>
      <c r="F311" s="98"/>
      <c r="G311" s="98"/>
      <c r="H311" s="261"/>
      <c r="I311" s="189"/>
      <c r="J311" s="189"/>
      <c r="K311" s="487"/>
      <c r="L311" s="417"/>
      <c r="M311" s="230"/>
      <c r="N311" s="189"/>
      <c r="O311" s="45"/>
      <c r="P311" s="124"/>
      <c r="Q311" s="113"/>
      <c r="R311" s="100"/>
      <c r="S311" s="36"/>
      <c r="T311" s="191"/>
      <c r="U311" s="113"/>
      <c r="V311" s="100"/>
      <c r="W311" s="36"/>
      <c r="X311" s="229"/>
      <c r="Y311" s="113"/>
      <c r="Z311" s="100"/>
      <c r="AA311" s="36"/>
      <c r="AB311" s="229"/>
      <c r="AC311" s="113"/>
      <c r="AD311" s="100"/>
      <c r="AE311" s="36"/>
    </row>
    <row r="312" spans="1:31" ht="11.25">
      <c r="A312" s="97"/>
      <c r="B312" s="98"/>
      <c r="C312" s="15" t="s">
        <v>31</v>
      </c>
      <c r="E312" s="98"/>
      <c r="F312" s="98"/>
      <c r="G312" s="98"/>
      <c r="H312" s="261"/>
      <c r="I312" s="189"/>
      <c r="J312" s="189"/>
      <c r="K312" s="480"/>
      <c r="L312" s="417"/>
      <c r="M312" s="230"/>
      <c r="N312" s="87"/>
      <c r="O312" s="45"/>
      <c r="P312" s="124"/>
      <c r="Q312" s="113"/>
      <c r="R312" s="87"/>
      <c r="S312" s="36"/>
      <c r="T312" s="191"/>
      <c r="U312" s="113"/>
      <c r="V312" s="189"/>
      <c r="W312" s="36"/>
      <c r="X312" s="229"/>
      <c r="Y312" s="113"/>
      <c r="Z312" s="189"/>
      <c r="AA312" s="36"/>
      <c r="AB312" s="229"/>
      <c r="AC312" s="113"/>
      <c r="AD312" s="189"/>
      <c r="AE312" s="36"/>
    </row>
    <row r="313" spans="1:31" ht="11.25">
      <c r="A313" s="97" t="s">
        <v>495</v>
      </c>
      <c r="B313" s="98"/>
      <c r="D313" s="15" t="s">
        <v>177</v>
      </c>
      <c r="E313" s="98"/>
      <c r="F313" s="98"/>
      <c r="G313" s="98"/>
      <c r="H313" s="261">
        <f>14485+290+5794+798+15000</f>
        <v>36367</v>
      </c>
      <c r="I313" s="189">
        <f>6785+136+219</f>
        <v>7140</v>
      </c>
      <c r="J313" s="189">
        <v>0</v>
      </c>
      <c r="K313" s="480">
        <f>H313+I313+J313</f>
        <v>43507</v>
      </c>
      <c r="L313" s="417" t="s">
        <v>208</v>
      </c>
      <c r="M313" s="230">
        <v>5</v>
      </c>
      <c r="N313" s="189">
        <f>O313/M313</f>
        <v>8701.4</v>
      </c>
      <c r="O313" s="45">
        <f>K313</f>
        <v>43507</v>
      </c>
      <c r="P313" s="124" t="s">
        <v>208</v>
      </c>
      <c r="Q313" s="230">
        <v>5</v>
      </c>
      <c r="R313" s="189">
        <f>S313/Q313</f>
        <v>8701.4</v>
      </c>
      <c r="S313" s="190">
        <f>O313</f>
        <v>43507</v>
      </c>
      <c r="T313" s="124" t="s">
        <v>208</v>
      </c>
      <c r="U313" s="230">
        <v>5</v>
      </c>
      <c r="V313" s="189">
        <f>W313/U313</f>
        <v>8701.4</v>
      </c>
      <c r="W313" s="190">
        <f>S313</f>
        <v>43507</v>
      </c>
      <c r="X313" s="229" t="s">
        <v>208</v>
      </c>
      <c r="Y313" s="230">
        <v>5</v>
      </c>
      <c r="Z313" s="189">
        <v>8701.4</v>
      </c>
      <c r="AA313" s="190">
        <v>43507</v>
      </c>
      <c r="AB313" s="229" t="s">
        <v>208</v>
      </c>
      <c r="AC313" s="230">
        <v>5</v>
      </c>
      <c r="AD313" s="189">
        <v>8701.4</v>
      </c>
      <c r="AE313" s="190">
        <v>43507</v>
      </c>
    </row>
    <row r="314" spans="1:31" ht="11.25">
      <c r="A314" s="97" t="s">
        <v>496</v>
      </c>
      <c r="B314" s="98"/>
      <c r="D314" s="15" t="s">
        <v>178</v>
      </c>
      <c r="E314" s="98"/>
      <c r="F314" s="98"/>
      <c r="G314" s="98"/>
      <c r="H314" s="261"/>
      <c r="I314" s="189"/>
      <c r="J314" s="189"/>
      <c r="K314" s="487"/>
      <c r="L314" s="417"/>
      <c r="M314" s="230"/>
      <c r="N314" s="189"/>
      <c r="O314" s="45"/>
      <c r="P314" s="124"/>
      <c r="Q314" s="230"/>
      <c r="R314" s="189"/>
      <c r="S314" s="190"/>
      <c r="T314" s="124"/>
      <c r="U314" s="230"/>
      <c r="V314" s="189"/>
      <c r="W314" s="190"/>
      <c r="X314" s="229"/>
      <c r="Y314" s="230"/>
      <c r="Z314" s="189"/>
      <c r="AA314" s="190"/>
      <c r="AB314" s="229"/>
      <c r="AC314" s="230"/>
      <c r="AD314" s="189"/>
      <c r="AE314" s="190"/>
    </row>
    <row r="315" spans="1:31" ht="11.25">
      <c r="A315" s="112"/>
      <c r="C315" s="15" t="s">
        <v>10</v>
      </c>
      <c r="H315" s="478"/>
      <c r="I315" s="87"/>
      <c r="J315" s="87"/>
      <c r="K315" s="480"/>
      <c r="L315" s="159"/>
      <c r="M315" s="56"/>
      <c r="N315" s="87"/>
      <c r="O315" s="32"/>
      <c r="P315" s="89"/>
      <c r="Q315" s="84"/>
      <c r="R315" s="86"/>
      <c r="S315" s="33"/>
      <c r="T315" s="89"/>
      <c r="U315" s="84"/>
      <c r="V315" s="86"/>
      <c r="W315" s="33"/>
      <c r="X315" s="229"/>
      <c r="Y315" s="113"/>
      <c r="Z315" s="192"/>
      <c r="AA315" s="36"/>
      <c r="AB315" s="229"/>
      <c r="AC315" s="113"/>
      <c r="AD315" s="192"/>
      <c r="AE315" s="36"/>
    </row>
    <row r="316" spans="1:31" ht="11.25">
      <c r="A316" s="112" t="s">
        <v>497</v>
      </c>
      <c r="D316" s="15" t="s">
        <v>11</v>
      </c>
      <c r="H316" s="478"/>
      <c r="I316" s="87"/>
      <c r="J316" s="87"/>
      <c r="K316" s="480"/>
      <c r="L316" s="159"/>
      <c r="M316" s="56"/>
      <c r="N316" s="87"/>
      <c r="O316" s="32"/>
      <c r="P316" s="89"/>
      <c r="Q316" s="56"/>
      <c r="R316" s="87"/>
      <c r="S316" s="33"/>
      <c r="T316" s="89"/>
      <c r="U316" s="56"/>
      <c r="V316" s="87"/>
      <c r="W316" s="33"/>
      <c r="X316" s="229"/>
      <c r="Y316" s="230"/>
      <c r="Z316" s="189"/>
      <c r="AA316" s="36"/>
      <c r="AB316" s="229"/>
      <c r="AC316" s="230"/>
      <c r="AD316" s="189"/>
      <c r="AE316" s="36"/>
    </row>
    <row r="317" spans="1:31" ht="11.25">
      <c r="A317" s="112" t="s">
        <v>498</v>
      </c>
      <c r="D317" s="15" t="s">
        <v>12</v>
      </c>
      <c r="H317" s="478"/>
      <c r="I317" s="87"/>
      <c r="J317" s="87"/>
      <c r="K317" s="480"/>
      <c r="L317" s="159"/>
      <c r="M317" s="56"/>
      <c r="N317" s="87"/>
      <c r="O317" s="32"/>
      <c r="P317" s="89"/>
      <c r="Q317" s="56"/>
      <c r="R317" s="96"/>
      <c r="S317" s="33"/>
      <c r="T317" s="89"/>
      <c r="U317" s="56"/>
      <c r="V317" s="96"/>
      <c r="W317" s="33"/>
      <c r="X317" s="229"/>
      <c r="Y317" s="230"/>
      <c r="Z317" s="100"/>
      <c r="AA317" s="36"/>
      <c r="AB317" s="229"/>
      <c r="AC317" s="230"/>
      <c r="AD317" s="100"/>
      <c r="AE317" s="36"/>
    </row>
    <row r="318" spans="1:31" ht="11.25">
      <c r="A318" s="112" t="s">
        <v>499</v>
      </c>
      <c r="D318" s="15" t="s">
        <v>13</v>
      </c>
      <c r="H318" s="478"/>
      <c r="I318" s="87"/>
      <c r="J318" s="87"/>
      <c r="K318" s="480"/>
      <c r="L318" s="159"/>
      <c r="M318" s="56"/>
      <c r="N318" s="87"/>
      <c r="O318" s="32"/>
      <c r="P318" s="89"/>
      <c r="Q318" s="56"/>
      <c r="R318" s="86"/>
      <c r="S318" s="33"/>
      <c r="T318" s="89"/>
      <c r="U318" s="56"/>
      <c r="V318" s="86"/>
      <c r="W318" s="33"/>
      <c r="X318" s="229"/>
      <c r="Y318" s="230"/>
      <c r="Z318" s="192"/>
      <c r="AA318" s="36"/>
      <c r="AB318" s="229"/>
      <c r="AC318" s="230"/>
      <c r="AD318" s="192"/>
      <c r="AE318" s="36"/>
    </row>
    <row r="319" spans="1:31" ht="11.25">
      <c r="A319" s="112" t="s">
        <v>500</v>
      </c>
      <c r="D319" s="15" t="s">
        <v>14</v>
      </c>
      <c r="H319" s="478"/>
      <c r="I319" s="87"/>
      <c r="J319" s="87"/>
      <c r="K319" s="480"/>
      <c r="L319" s="159"/>
      <c r="M319" s="56"/>
      <c r="N319" s="87"/>
      <c r="O319" s="32"/>
      <c r="P319" s="89"/>
      <c r="Q319" s="56"/>
      <c r="R319" s="86"/>
      <c r="S319" s="33"/>
      <c r="T319" s="89"/>
      <c r="U319" s="56"/>
      <c r="V319" s="86"/>
      <c r="W319" s="33"/>
      <c r="X319" s="229"/>
      <c r="Y319" s="230"/>
      <c r="Z319" s="192"/>
      <c r="AA319" s="36"/>
      <c r="AB319" s="229"/>
      <c r="AC319" s="230"/>
      <c r="AD319" s="192"/>
      <c r="AE319" s="36"/>
    </row>
    <row r="320" spans="1:31" ht="11.25">
      <c r="A320" s="112"/>
      <c r="C320" s="15" t="s">
        <v>15</v>
      </c>
      <c r="H320" s="478"/>
      <c r="I320" s="87"/>
      <c r="J320" s="87"/>
      <c r="K320" s="480"/>
      <c r="L320" s="159"/>
      <c r="M320" s="56"/>
      <c r="N320" s="87"/>
      <c r="O320" s="32"/>
      <c r="P320" s="89"/>
      <c r="Q320" s="56"/>
      <c r="R320" s="86"/>
      <c r="S320" s="33"/>
      <c r="T320" s="89"/>
      <c r="U320" s="56"/>
      <c r="V320" s="86"/>
      <c r="W320" s="33"/>
      <c r="X320" s="229"/>
      <c r="Y320" s="230"/>
      <c r="Z320" s="192"/>
      <c r="AA320" s="36"/>
      <c r="AB320" s="229"/>
      <c r="AC320" s="230"/>
      <c r="AD320" s="192"/>
      <c r="AE320" s="36"/>
    </row>
    <row r="321" spans="1:31" ht="11.25">
      <c r="A321" s="112" t="s">
        <v>501</v>
      </c>
      <c r="D321" s="15" t="s">
        <v>11</v>
      </c>
      <c r="H321" s="478"/>
      <c r="I321" s="87"/>
      <c r="J321" s="87"/>
      <c r="K321" s="480"/>
      <c r="L321" s="159"/>
      <c r="M321" s="56"/>
      <c r="N321" s="87"/>
      <c r="O321" s="32"/>
      <c r="P321" s="89"/>
      <c r="Q321" s="56"/>
      <c r="R321" s="86"/>
      <c r="S321" s="33"/>
      <c r="T321" s="89"/>
      <c r="U321" s="56"/>
      <c r="V321" s="86"/>
      <c r="W321" s="33"/>
      <c r="X321" s="229"/>
      <c r="Y321" s="230"/>
      <c r="Z321" s="192"/>
      <c r="AA321" s="36"/>
      <c r="AB321" s="229"/>
      <c r="AC321" s="230"/>
      <c r="AD321" s="192"/>
      <c r="AE321" s="36"/>
    </row>
    <row r="322" spans="1:31" ht="11.25">
      <c r="A322" s="112" t="s">
        <v>502</v>
      </c>
      <c r="D322" s="15" t="s">
        <v>12</v>
      </c>
      <c r="H322" s="478"/>
      <c r="I322" s="87"/>
      <c r="J322" s="87"/>
      <c r="K322" s="480"/>
      <c r="L322" s="159"/>
      <c r="M322" s="56"/>
      <c r="N322" s="87"/>
      <c r="O322" s="32"/>
      <c r="P322" s="89"/>
      <c r="Q322" s="56"/>
      <c r="R322" s="96"/>
      <c r="S322" s="33"/>
      <c r="T322" s="89"/>
      <c r="U322" s="56"/>
      <c r="V322" s="96"/>
      <c r="W322" s="33"/>
      <c r="X322" s="229"/>
      <c r="Y322" s="230"/>
      <c r="Z322" s="100"/>
      <c r="AA322" s="36"/>
      <c r="AB322" s="229"/>
      <c r="AC322" s="230"/>
      <c r="AD322" s="100"/>
      <c r="AE322" s="36"/>
    </row>
    <row r="323" spans="1:31" ht="11.25">
      <c r="A323" s="112" t="s">
        <v>503</v>
      </c>
      <c r="D323" s="15" t="s">
        <v>13</v>
      </c>
      <c r="H323" s="478"/>
      <c r="I323" s="87"/>
      <c r="J323" s="87"/>
      <c r="K323" s="480"/>
      <c r="L323" s="159"/>
      <c r="M323" s="56"/>
      <c r="N323" s="87"/>
      <c r="O323" s="32"/>
      <c r="P323" s="89"/>
      <c r="Q323" s="56"/>
      <c r="R323" s="86"/>
      <c r="S323" s="33"/>
      <c r="T323" s="89"/>
      <c r="U323" s="56"/>
      <c r="V323" s="86"/>
      <c r="W323" s="33"/>
      <c r="X323" s="229"/>
      <c r="Y323" s="230"/>
      <c r="Z323" s="192"/>
      <c r="AA323" s="36"/>
      <c r="AB323" s="229"/>
      <c r="AC323" s="230"/>
      <c r="AD323" s="192"/>
      <c r="AE323" s="36"/>
    </row>
    <row r="324" spans="1:31" ht="11.25">
      <c r="A324" s="112" t="s">
        <v>504</v>
      </c>
      <c r="D324" s="15" t="s">
        <v>14</v>
      </c>
      <c r="H324" s="478"/>
      <c r="I324" s="87"/>
      <c r="J324" s="87"/>
      <c r="K324" s="480"/>
      <c r="L324" s="159"/>
      <c r="M324" s="56"/>
      <c r="N324" s="87"/>
      <c r="O324" s="32"/>
      <c r="P324" s="89"/>
      <c r="Q324" s="56"/>
      <c r="R324" s="86"/>
      <c r="S324" s="33"/>
      <c r="T324" s="89"/>
      <c r="U324" s="56"/>
      <c r="V324" s="86"/>
      <c r="W324" s="33"/>
      <c r="X324" s="229"/>
      <c r="Y324" s="230"/>
      <c r="Z324" s="192"/>
      <c r="AA324" s="36"/>
      <c r="AB324" s="229"/>
      <c r="AC324" s="230"/>
      <c r="AD324" s="192"/>
      <c r="AE324" s="36"/>
    </row>
    <row r="325" spans="1:31" ht="11.25">
      <c r="A325" s="112"/>
      <c r="C325" s="15" t="s">
        <v>16</v>
      </c>
      <c r="H325" s="478">
        <f>SUM(H315:H324)</f>
        <v>0</v>
      </c>
      <c r="I325" s="87">
        <f>SUM(I315:I324)</f>
        <v>0</v>
      </c>
      <c r="J325" s="87">
        <f>SUM(J315:J324)</f>
        <v>0</v>
      </c>
      <c r="K325" s="480">
        <f>H325+I325+J325</f>
        <v>0</v>
      </c>
      <c r="L325" s="159"/>
      <c r="M325" s="56"/>
      <c r="N325" s="107"/>
      <c r="O325" s="32">
        <f>SUM(O315:O324)</f>
        <v>0</v>
      </c>
      <c r="P325" s="89"/>
      <c r="Q325" s="56"/>
      <c r="R325" s="107"/>
      <c r="S325" s="88">
        <f>SUM(S315:S324)</f>
        <v>0</v>
      </c>
      <c r="T325" s="89"/>
      <c r="U325" s="56"/>
      <c r="V325" s="107"/>
      <c r="W325" s="88">
        <f>SUM(W315:W324)</f>
        <v>0</v>
      </c>
      <c r="X325" s="229"/>
      <c r="Y325" s="230"/>
      <c r="Z325" s="242"/>
      <c r="AA325" s="190">
        <v>0</v>
      </c>
      <c r="AB325" s="229"/>
      <c r="AC325" s="230"/>
      <c r="AD325" s="242"/>
      <c r="AE325" s="190">
        <v>0</v>
      </c>
    </row>
    <row r="326" spans="1:31" ht="11.25">
      <c r="A326" s="112"/>
      <c r="C326" s="15" t="s">
        <v>10</v>
      </c>
      <c r="H326" s="478"/>
      <c r="I326" s="87"/>
      <c r="J326" s="87"/>
      <c r="K326" s="480"/>
      <c r="L326" s="159"/>
      <c r="M326" s="56"/>
      <c r="N326" s="87"/>
      <c r="O326" s="32"/>
      <c r="P326" s="89"/>
      <c r="Q326" s="56"/>
      <c r="R326" s="87"/>
      <c r="S326" s="88"/>
      <c r="T326" s="89"/>
      <c r="U326" s="56"/>
      <c r="V326" s="87"/>
      <c r="W326" s="88"/>
      <c r="X326" s="229"/>
      <c r="Y326" s="230"/>
      <c r="Z326" s="189"/>
      <c r="AA326" s="190"/>
      <c r="AB326" s="229"/>
      <c r="AC326" s="230"/>
      <c r="AD326" s="189"/>
      <c r="AE326" s="190"/>
    </row>
    <row r="327" spans="1:31" ht="11.25">
      <c r="A327" s="112" t="s">
        <v>505</v>
      </c>
      <c r="D327" s="15" t="s">
        <v>17</v>
      </c>
      <c r="H327" s="478"/>
      <c r="I327" s="87"/>
      <c r="J327" s="87"/>
      <c r="K327" s="480"/>
      <c r="L327" s="159"/>
      <c r="M327" s="56"/>
      <c r="N327" s="87"/>
      <c r="O327" s="32"/>
      <c r="P327" s="89"/>
      <c r="Q327" s="56"/>
      <c r="R327" s="87"/>
      <c r="S327" s="88"/>
      <c r="T327" s="89"/>
      <c r="U327" s="56"/>
      <c r="V327" s="87"/>
      <c r="W327" s="88"/>
      <c r="X327" s="229"/>
      <c r="Y327" s="230"/>
      <c r="Z327" s="189"/>
      <c r="AA327" s="190"/>
      <c r="AB327" s="229"/>
      <c r="AC327" s="230"/>
      <c r="AD327" s="189"/>
      <c r="AE327" s="190"/>
    </row>
    <row r="328" spans="1:31" ht="11.25">
      <c r="A328" s="112" t="s">
        <v>506</v>
      </c>
      <c r="D328" s="15" t="s">
        <v>18</v>
      </c>
      <c r="H328" s="478"/>
      <c r="I328" s="87"/>
      <c r="J328" s="87"/>
      <c r="K328" s="480"/>
      <c r="L328" s="159"/>
      <c r="M328" s="56"/>
      <c r="N328" s="87"/>
      <c r="O328" s="32"/>
      <c r="P328" s="89"/>
      <c r="Q328" s="56"/>
      <c r="R328" s="87"/>
      <c r="S328" s="88"/>
      <c r="T328" s="89"/>
      <c r="U328" s="56"/>
      <c r="V328" s="87"/>
      <c r="W328" s="88"/>
      <c r="X328" s="229"/>
      <c r="Y328" s="230"/>
      <c r="Z328" s="189"/>
      <c r="AA328" s="190"/>
      <c r="AB328" s="229"/>
      <c r="AC328" s="230"/>
      <c r="AD328" s="189"/>
      <c r="AE328" s="190"/>
    </row>
    <row r="329" spans="1:31" ht="11.25">
      <c r="A329" s="112"/>
      <c r="C329" s="15" t="s">
        <v>15</v>
      </c>
      <c r="H329" s="478"/>
      <c r="I329" s="87"/>
      <c r="J329" s="87"/>
      <c r="K329" s="480"/>
      <c r="L329" s="159"/>
      <c r="M329" s="56"/>
      <c r="N329" s="87"/>
      <c r="O329" s="32"/>
      <c r="P329" s="89"/>
      <c r="Q329" s="56"/>
      <c r="R329" s="87"/>
      <c r="S329" s="88"/>
      <c r="T329" s="89"/>
      <c r="U329" s="56"/>
      <c r="V329" s="87"/>
      <c r="W329" s="88"/>
      <c r="X329" s="229"/>
      <c r="Y329" s="230"/>
      <c r="Z329" s="189"/>
      <c r="AA329" s="190"/>
      <c r="AB329" s="229"/>
      <c r="AC329" s="230"/>
      <c r="AD329" s="189"/>
      <c r="AE329" s="190"/>
    </row>
    <row r="330" spans="1:31" ht="11.25">
      <c r="A330" s="112" t="s">
        <v>507</v>
      </c>
      <c r="D330" s="15" t="s">
        <v>17</v>
      </c>
      <c r="H330" s="478"/>
      <c r="I330" s="87"/>
      <c r="J330" s="87"/>
      <c r="K330" s="480"/>
      <c r="L330" s="159"/>
      <c r="M330" s="56"/>
      <c r="N330" s="87"/>
      <c r="O330" s="32"/>
      <c r="P330" s="89"/>
      <c r="Q330" s="56"/>
      <c r="R330" s="87"/>
      <c r="S330" s="88"/>
      <c r="T330" s="89"/>
      <c r="U330" s="56"/>
      <c r="V330" s="87"/>
      <c r="W330" s="88"/>
      <c r="X330" s="229"/>
      <c r="Y330" s="230"/>
      <c r="Z330" s="189"/>
      <c r="AA330" s="190"/>
      <c r="AB330" s="229"/>
      <c r="AC330" s="230"/>
      <c r="AD330" s="189"/>
      <c r="AE330" s="190"/>
    </row>
    <row r="331" spans="1:31" ht="11.25">
      <c r="A331" s="112" t="s">
        <v>508</v>
      </c>
      <c r="D331" s="15" t="s">
        <v>19</v>
      </c>
      <c r="H331" s="481"/>
      <c r="I331" s="87"/>
      <c r="J331" s="87"/>
      <c r="K331" s="480"/>
      <c r="L331" s="159"/>
      <c r="M331" s="56"/>
      <c r="N331" s="87"/>
      <c r="O331" s="32"/>
      <c r="P331" s="89"/>
      <c r="Q331" s="56"/>
      <c r="R331" s="87"/>
      <c r="S331" s="88"/>
      <c r="T331" s="89"/>
      <c r="U331" s="56"/>
      <c r="V331" s="87"/>
      <c r="W331" s="88"/>
      <c r="X331" s="229"/>
      <c r="Y331" s="230"/>
      <c r="Z331" s="189"/>
      <c r="AA331" s="190"/>
      <c r="AB331" s="229"/>
      <c r="AC331" s="230"/>
      <c r="AD331" s="189"/>
      <c r="AE331" s="190"/>
    </row>
    <row r="332" spans="1:31" ht="11.25">
      <c r="A332" s="112"/>
      <c r="C332" s="15" t="s">
        <v>20</v>
      </c>
      <c r="H332" s="478">
        <f>SUM(H326:H331)</f>
        <v>0</v>
      </c>
      <c r="I332" s="87">
        <f>SUM(I326:I331)</f>
        <v>0</v>
      </c>
      <c r="J332" s="87">
        <f>SUM(J326:J331)</f>
        <v>0</v>
      </c>
      <c r="K332" s="480">
        <f>H332+I332+J332</f>
        <v>0</v>
      </c>
      <c r="L332" s="159"/>
      <c r="M332" s="56"/>
      <c r="N332" s="107"/>
      <c r="O332" s="32">
        <f>SUM(O326:O331)</f>
        <v>0</v>
      </c>
      <c r="P332" s="89"/>
      <c r="Q332" s="56"/>
      <c r="R332" s="107"/>
      <c r="S332" s="88">
        <f>SUM(S326:S331)</f>
        <v>0</v>
      </c>
      <c r="T332" s="89"/>
      <c r="U332" s="56"/>
      <c r="V332" s="107"/>
      <c r="W332" s="88">
        <f>SUM(W326:W331)</f>
        <v>0</v>
      </c>
      <c r="X332" s="229"/>
      <c r="Y332" s="230"/>
      <c r="Z332" s="242"/>
      <c r="AA332" s="190">
        <f>SUM(AA326:AA331)</f>
        <v>0</v>
      </c>
      <c r="AB332" s="229"/>
      <c r="AC332" s="230"/>
      <c r="AD332" s="242"/>
      <c r="AE332" s="190">
        <f>SUM(AE326:AE331)</f>
        <v>0</v>
      </c>
    </row>
    <row r="333" spans="1:31" ht="11.25">
      <c r="A333" s="112"/>
      <c r="B333" s="15" t="s">
        <v>225</v>
      </c>
      <c r="H333" s="478">
        <f>H313+H325+H332</f>
        <v>36367</v>
      </c>
      <c r="I333" s="87">
        <f>I313+I325+I332</f>
        <v>7140</v>
      </c>
      <c r="J333" s="87">
        <f>J313+J325+J332</f>
        <v>0</v>
      </c>
      <c r="K333" s="480">
        <f>K313+K325+K332</f>
        <v>43507</v>
      </c>
      <c r="L333" s="159" t="s">
        <v>208</v>
      </c>
      <c r="M333" s="56">
        <v>5</v>
      </c>
      <c r="N333" s="87">
        <f>O333/M333</f>
        <v>8701.4</v>
      </c>
      <c r="O333" s="32">
        <f>O313+O325+O332</f>
        <v>43507</v>
      </c>
      <c r="P333" s="89" t="s">
        <v>208</v>
      </c>
      <c r="Q333" s="56">
        <v>5</v>
      </c>
      <c r="R333" s="87">
        <f>S333/Q333</f>
        <v>8701.4</v>
      </c>
      <c r="S333" s="88">
        <f>S313+S325+S332</f>
        <v>43507</v>
      </c>
      <c r="T333" s="89" t="s">
        <v>208</v>
      </c>
      <c r="U333" s="56">
        <v>5</v>
      </c>
      <c r="V333" s="87">
        <f>W333/U333</f>
        <v>8701.4</v>
      </c>
      <c r="W333" s="88">
        <f>W313+W325+W332</f>
        <v>43507</v>
      </c>
      <c r="X333" s="229" t="s">
        <v>208</v>
      </c>
      <c r="Y333" s="230">
        <v>5</v>
      </c>
      <c r="Z333" s="189">
        <f>AA333/Y333</f>
        <v>8701.4</v>
      </c>
      <c r="AA333" s="190">
        <f>AA313+AA325+AA332</f>
        <v>43507</v>
      </c>
      <c r="AB333" s="229" t="s">
        <v>208</v>
      </c>
      <c r="AC333" s="230">
        <v>5</v>
      </c>
      <c r="AD333" s="189">
        <f>AE333/AC333</f>
        <v>8701.4</v>
      </c>
      <c r="AE333" s="190">
        <f>AE313+AE325+AE332</f>
        <v>43507</v>
      </c>
    </row>
    <row r="334" spans="1:31" ht="11.25">
      <c r="A334" s="97"/>
      <c r="H334" s="478"/>
      <c r="I334" s="87"/>
      <c r="J334" s="87"/>
      <c r="K334" s="480"/>
      <c r="L334" s="397"/>
      <c r="M334" s="332"/>
      <c r="N334" s="341"/>
      <c r="O334" s="379"/>
      <c r="P334" s="435"/>
      <c r="Q334" s="110"/>
      <c r="R334" s="110"/>
      <c r="S334" s="111"/>
      <c r="T334" s="408"/>
      <c r="U334" s="245"/>
      <c r="V334" s="245"/>
      <c r="W334" s="246"/>
      <c r="X334" s="244"/>
      <c r="Y334" s="245"/>
      <c r="Z334" s="245"/>
      <c r="AA334" s="246"/>
      <c r="AB334" s="244"/>
      <c r="AC334" s="245"/>
      <c r="AD334" s="245"/>
      <c r="AE334" s="246"/>
    </row>
    <row r="335" spans="1:31" ht="11.25">
      <c r="A335" s="97" t="s">
        <v>160</v>
      </c>
      <c r="B335" s="98" t="s">
        <v>229</v>
      </c>
      <c r="C335" s="98"/>
      <c r="D335" s="98"/>
      <c r="E335" s="98"/>
      <c r="F335" s="98"/>
      <c r="G335" s="98"/>
      <c r="H335" s="261"/>
      <c r="I335" s="189"/>
      <c r="J335" s="189"/>
      <c r="K335" s="487"/>
      <c r="L335" s="417"/>
      <c r="M335" s="230"/>
      <c r="N335" s="189"/>
      <c r="O335" s="45"/>
      <c r="P335" s="124"/>
      <c r="Q335" s="113"/>
      <c r="R335" s="100"/>
      <c r="S335" s="36"/>
      <c r="T335" s="191"/>
      <c r="U335" s="113"/>
      <c r="V335" s="100"/>
      <c r="W335" s="36"/>
      <c r="X335" s="229"/>
      <c r="Y335" s="113"/>
      <c r="Z335" s="100"/>
      <c r="AA335" s="36"/>
      <c r="AB335" s="229"/>
      <c r="AC335" s="113"/>
      <c r="AD335" s="100"/>
      <c r="AE335" s="36"/>
    </row>
    <row r="336" spans="1:31" ht="11.25">
      <c r="A336" s="97"/>
      <c r="B336" s="98"/>
      <c r="C336" s="15" t="s">
        <v>31</v>
      </c>
      <c r="E336" s="98"/>
      <c r="F336" s="98"/>
      <c r="G336" s="98"/>
      <c r="H336" s="261"/>
      <c r="I336" s="189"/>
      <c r="J336" s="189"/>
      <c r="K336" s="480"/>
      <c r="L336" s="417"/>
      <c r="M336" s="230"/>
      <c r="N336" s="87"/>
      <c r="O336" s="32"/>
      <c r="P336" s="124"/>
      <c r="Q336" s="113"/>
      <c r="R336" s="87"/>
      <c r="S336" s="88"/>
      <c r="T336" s="124"/>
      <c r="U336" s="113"/>
      <c r="V336" s="87"/>
      <c r="W336" s="88"/>
      <c r="X336" s="229"/>
      <c r="Y336" s="113"/>
      <c r="Z336" s="189"/>
      <c r="AA336" s="190"/>
      <c r="AB336" s="229"/>
      <c r="AC336" s="113"/>
      <c r="AD336" s="189"/>
      <c r="AE336" s="190"/>
    </row>
    <row r="337" spans="1:31" ht="11.25">
      <c r="A337" s="97" t="s">
        <v>510</v>
      </c>
      <c r="B337" s="98"/>
      <c r="D337" s="15" t="s">
        <v>177</v>
      </c>
      <c r="E337" s="98"/>
      <c r="F337" s="98"/>
      <c r="G337" s="98"/>
      <c r="H337" s="261"/>
      <c r="I337" s="189"/>
      <c r="J337" s="189"/>
      <c r="K337" s="487"/>
      <c r="L337" s="417"/>
      <c r="M337" s="230"/>
      <c r="N337" s="189"/>
      <c r="O337" s="45"/>
      <c r="P337" s="124"/>
      <c r="Q337" s="113"/>
      <c r="R337" s="100"/>
      <c r="S337" s="36"/>
      <c r="T337" s="124"/>
      <c r="U337" s="113"/>
      <c r="V337" s="100"/>
      <c r="W337" s="36"/>
      <c r="X337" s="229"/>
      <c r="Y337" s="113"/>
      <c r="Z337" s="100"/>
      <c r="AA337" s="36"/>
      <c r="AB337" s="229"/>
      <c r="AC337" s="113"/>
      <c r="AD337" s="100"/>
      <c r="AE337" s="36"/>
    </row>
    <row r="338" spans="1:31" ht="11.25">
      <c r="A338" s="97" t="s">
        <v>511</v>
      </c>
      <c r="B338" s="98"/>
      <c r="D338" s="15" t="s">
        <v>178</v>
      </c>
      <c r="E338" s="98"/>
      <c r="F338" s="98"/>
      <c r="G338" s="98"/>
      <c r="H338" s="261"/>
      <c r="I338" s="189"/>
      <c r="J338" s="189"/>
      <c r="K338" s="487"/>
      <c r="L338" s="417"/>
      <c r="M338" s="230"/>
      <c r="N338" s="189"/>
      <c r="O338" s="45"/>
      <c r="P338" s="124"/>
      <c r="Q338" s="113"/>
      <c r="R338" s="100"/>
      <c r="S338" s="36"/>
      <c r="T338" s="124"/>
      <c r="U338" s="113"/>
      <c r="V338" s="100"/>
      <c r="W338" s="36"/>
      <c r="X338" s="229"/>
      <c r="Y338" s="113"/>
      <c r="Z338" s="100"/>
      <c r="AA338" s="36"/>
      <c r="AB338" s="229"/>
      <c r="AC338" s="113"/>
      <c r="AD338" s="100"/>
      <c r="AE338" s="36"/>
    </row>
    <row r="339" spans="1:31" ht="11.25">
      <c r="A339" s="112"/>
      <c r="C339" s="15" t="s">
        <v>10</v>
      </c>
      <c r="H339" s="478"/>
      <c r="I339" s="87"/>
      <c r="J339" s="87"/>
      <c r="K339" s="480"/>
      <c r="L339" s="159"/>
      <c r="M339" s="56"/>
      <c r="N339" s="87"/>
      <c r="O339" s="32"/>
      <c r="P339" s="89"/>
      <c r="Q339" s="84"/>
      <c r="R339" s="86"/>
      <c r="S339" s="33"/>
      <c r="T339" s="89"/>
      <c r="U339" s="84"/>
      <c r="V339" s="86"/>
      <c r="W339" s="33"/>
      <c r="X339" s="229"/>
      <c r="Y339" s="113"/>
      <c r="Z339" s="192"/>
      <c r="AA339" s="36"/>
      <c r="AB339" s="229"/>
      <c r="AC339" s="113"/>
      <c r="AD339" s="192"/>
      <c r="AE339" s="36"/>
    </row>
    <row r="340" spans="1:31" ht="11.25">
      <c r="A340" s="112" t="s">
        <v>512</v>
      </c>
      <c r="D340" s="15" t="s">
        <v>11</v>
      </c>
      <c r="H340" s="478"/>
      <c r="I340" s="87"/>
      <c r="J340" s="87"/>
      <c r="K340" s="480"/>
      <c r="L340" s="159"/>
      <c r="M340" s="56"/>
      <c r="N340" s="87"/>
      <c r="O340" s="32"/>
      <c r="P340" s="89"/>
      <c r="Q340" s="56"/>
      <c r="R340" s="87"/>
      <c r="S340" s="33"/>
      <c r="T340" s="89"/>
      <c r="U340" s="56"/>
      <c r="V340" s="87"/>
      <c r="W340" s="33"/>
      <c r="X340" s="229"/>
      <c r="Y340" s="230"/>
      <c r="Z340" s="189"/>
      <c r="AA340" s="36"/>
      <c r="AB340" s="229"/>
      <c r="AC340" s="230"/>
      <c r="AD340" s="189"/>
      <c r="AE340" s="36"/>
    </row>
    <row r="341" spans="1:31" ht="11.25">
      <c r="A341" s="112" t="s">
        <v>513</v>
      </c>
      <c r="D341" s="15" t="s">
        <v>12</v>
      </c>
      <c r="H341" s="478"/>
      <c r="I341" s="87"/>
      <c r="J341" s="87"/>
      <c r="K341" s="480"/>
      <c r="L341" s="159"/>
      <c r="M341" s="56"/>
      <c r="N341" s="87"/>
      <c r="O341" s="32"/>
      <c r="P341" s="89"/>
      <c r="Q341" s="56"/>
      <c r="R341" s="96"/>
      <c r="S341" s="33"/>
      <c r="T341" s="89"/>
      <c r="U341" s="56"/>
      <c r="V341" s="96"/>
      <c r="W341" s="33"/>
      <c r="X341" s="229"/>
      <c r="Y341" s="230"/>
      <c r="Z341" s="100"/>
      <c r="AA341" s="36"/>
      <c r="AB341" s="229"/>
      <c r="AC341" s="230"/>
      <c r="AD341" s="100"/>
      <c r="AE341" s="36"/>
    </row>
    <row r="342" spans="1:31" ht="11.25">
      <c r="A342" s="112" t="s">
        <v>514</v>
      </c>
      <c r="D342" s="15" t="s">
        <v>13</v>
      </c>
      <c r="H342" s="478"/>
      <c r="I342" s="87"/>
      <c r="J342" s="87"/>
      <c r="K342" s="480"/>
      <c r="L342" s="159"/>
      <c r="M342" s="56"/>
      <c r="N342" s="87"/>
      <c r="O342" s="32"/>
      <c r="P342" s="89"/>
      <c r="Q342" s="56"/>
      <c r="R342" s="86"/>
      <c r="S342" s="33"/>
      <c r="T342" s="89"/>
      <c r="U342" s="56"/>
      <c r="V342" s="86"/>
      <c r="W342" s="33"/>
      <c r="X342" s="229"/>
      <c r="Y342" s="230"/>
      <c r="Z342" s="192"/>
      <c r="AA342" s="36"/>
      <c r="AB342" s="229"/>
      <c r="AC342" s="230"/>
      <c r="AD342" s="192"/>
      <c r="AE342" s="36"/>
    </row>
    <row r="343" spans="1:31" ht="11.25">
      <c r="A343" s="112" t="s">
        <v>515</v>
      </c>
      <c r="D343" s="15" t="s">
        <v>14</v>
      </c>
      <c r="H343" s="478"/>
      <c r="I343" s="87"/>
      <c r="J343" s="87"/>
      <c r="K343" s="480"/>
      <c r="L343" s="159"/>
      <c r="M343" s="56"/>
      <c r="N343" s="87"/>
      <c r="O343" s="32"/>
      <c r="P343" s="89"/>
      <c r="Q343" s="56"/>
      <c r="R343" s="86"/>
      <c r="S343" s="33"/>
      <c r="T343" s="89"/>
      <c r="U343" s="56"/>
      <c r="V343" s="86"/>
      <c r="W343" s="33"/>
      <c r="X343" s="229"/>
      <c r="Y343" s="230"/>
      <c r="Z343" s="192"/>
      <c r="AA343" s="36"/>
      <c r="AB343" s="229"/>
      <c r="AC343" s="230"/>
      <c r="AD343" s="192"/>
      <c r="AE343" s="36"/>
    </row>
    <row r="344" spans="1:31" ht="11.25">
      <c r="A344" s="112"/>
      <c r="C344" s="15" t="s">
        <v>15</v>
      </c>
      <c r="H344" s="478"/>
      <c r="I344" s="87"/>
      <c r="J344" s="87"/>
      <c r="K344" s="480"/>
      <c r="L344" s="159"/>
      <c r="M344" s="56"/>
      <c r="N344" s="87"/>
      <c r="O344" s="32"/>
      <c r="P344" s="89"/>
      <c r="Q344" s="56"/>
      <c r="R344" s="86"/>
      <c r="S344" s="33"/>
      <c r="T344" s="89"/>
      <c r="U344" s="56"/>
      <c r="V344" s="86"/>
      <c r="W344" s="33"/>
      <c r="X344" s="229"/>
      <c r="Y344" s="230"/>
      <c r="Z344" s="192"/>
      <c r="AA344" s="36"/>
      <c r="AB344" s="229"/>
      <c r="AC344" s="230"/>
      <c r="AD344" s="192"/>
      <c r="AE344" s="36"/>
    </row>
    <row r="345" spans="1:31" ht="11.25">
      <c r="A345" s="112" t="s">
        <v>516</v>
      </c>
      <c r="D345" s="15" t="s">
        <v>11</v>
      </c>
      <c r="H345" s="478"/>
      <c r="I345" s="87"/>
      <c r="J345" s="87"/>
      <c r="K345" s="480"/>
      <c r="L345" s="159"/>
      <c r="M345" s="56"/>
      <c r="N345" s="87"/>
      <c r="O345" s="32"/>
      <c r="P345" s="89"/>
      <c r="Q345" s="56"/>
      <c r="R345" s="86"/>
      <c r="S345" s="33"/>
      <c r="T345" s="89"/>
      <c r="U345" s="56"/>
      <c r="V345" s="86"/>
      <c r="W345" s="33"/>
      <c r="X345" s="229"/>
      <c r="Y345" s="230"/>
      <c r="Z345" s="192"/>
      <c r="AA345" s="36"/>
      <c r="AB345" s="229"/>
      <c r="AC345" s="230"/>
      <c r="AD345" s="192"/>
      <c r="AE345" s="36"/>
    </row>
    <row r="346" spans="1:31" ht="11.25">
      <c r="A346" s="112" t="s">
        <v>517</v>
      </c>
      <c r="D346" s="15" t="s">
        <v>12</v>
      </c>
      <c r="H346" s="478"/>
      <c r="I346" s="87"/>
      <c r="J346" s="87"/>
      <c r="K346" s="480"/>
      <c r="L346" s="159"/>
      <c r="M346" s="56"/>
      <c r="N346" s="87"/>
      <c r="O346" s="32"/>
      <c r="P346" s="89"/>
      <c r="Q346" s="56"/>
      <c r="R346" s="96"/>
      <c r="S346" s="33"/>
      <c r="T346" s="89"/>
      <c r="U346" s="56"/>
      <c r="V346" s="96"/>
      <c r="W346" s="33"/>
      <c r="X346" s="229"/>
      <c r="Y346" s="230"/>
      <c r="Z346" s="100"/>
      <c r="AA346" s="36"/>
      <c r="AB346" s="229"/>
      <c r="AC346" s="230"/>
      <c r="AD346" s="100"/>
      <c r="AE346" s="36"/>
    </row>
    <row r="347" spans="1:31" ht="11.25">
      <c r="A347" s="112" t="s">
        <v>518</v>
      </c>
      <c r="D347" s="15" t="s">
        <v>13</v>
      </c>
      <c r="H347" s="478"/>
      <c r="I347" s="87"/>
      <c r="J347" s="87"/>
      <c r="K347" s="480"/>
      <c r="L347" s="159"/>
      <c r="M347" s="56"/>
      <c r="N347" s="87"/>
      <c r="O347" s="32"/>
      <c r="P347" s="89"/>
      <c r="Q347" s="56"/>
      <c r="R347" s="86"/>
      <c r="S347" s="33"/>
      <c r="T347" s="89"/>
      <c r="U347" s="56"/>
      <c r="V347" s="86"/>
      <c r="W347" s="33"/>
      <c r="X347" s="229"/>
      <c r="Y347" s="230"/>
      <c r="Z347" s="192"/>
      <c r="AA347" s="36"/>
      <c r="AB347" s="229"/>
      <c r="AC347" s="230"/>
      <c r="AD347" s="192"/>
      <c r="AE347" s="36"/>
    </row>
    <row r="348" spans="1:31" ht="11.25">
      <c r="A348" s="112" t="s">
        <v>519</v>
      </c>
      <c r="D348" s="15" t="s">
        <v>14</v>
      </c>
      <c r="H348" s="478"/>
      <c r="I348" s="87"/>
      <c r="J348" s="87"/>
      <c r="K348" s="480"/>
      <c r="L348" s="159"/>
      <c r="M348" s="56"/>
      <c r="N348" s="87"/>
      <c r="O348" s="32"/>
      <c r="P348" s="89"/>
      <c r="Q348" s="56"/>
      <c r="R348" s="86"/>
      <c r="S348" s="33"/>
      <c r="T348" s="89"/>
      <c r="U348" s="56"/>
      <c r="V348" s="86"/>
      <c r="W348" s="33"/>
      <c r="X348" s="229"/>
      <c r="Y348" s="230"/>
      <c r="Z348" s="192"/>
      <c r="AA348" s="36"/>
      <c r="AB348" s="229"/>
      <c r="AC348" s="230"/>
      <c r="AD348" s="192"/>
      <c r="AE348" s="36"/>
    </row>
    <row r="349" spans="1:31" ht="11.25">
      <c r="A349" s="112"/>
      <c r="C349" s="15" t="s">
        <v>16</v>
      </c>
      <c r="H349" s="478">
        <f>SUM(H339:H348)</f>
        <v>0</v>
      </c>
      <c r="I349" s="87">
        <f>SUM(I339:I348)</f>
        <v>0</v>
      </c>
      <c r="J349" s="87">
        <f>SUM(J339:J348)</f>
        <v>0</v>
      </c>
      <c r="K349" s="480">
        <f>H349+I349+J349</f>
        <v>0</v>
      </c>
      <c r="L349" s="159"/>
      <c r="M349" s="56"/>
      <c r="N349" s="107"/>
      <c r="O349" s="32">
        <f>SUM(O339:O348)</f>
        <v>0</v>
      </c>
      <c r="P349" s="89"/>
      <c r="Q349" s="56"/>
      <c r="R349" s="107"/>
      <c r="S349" s="88">
        <f>SUM(S339:S348)</f>
        <v>0</v>
      </c>
      <c r="T349" s="89"/>
      <c r="U349" s="56"/>
      <c r="V349" s="107"/>
      <c r="W349" s="88">
        <f>SUM(W339:W348)</f>
        <v>0</v>
      </c>
      <c r="X349" s="229"/>
      <c r="Y349" s="230"/>
      <c r="Z349" s="242"/>
      <c r="AA349" s="190">
        <v>0</v>
      </c>
      <c r="AB349" s="229"/>
      <c r="AC349" s="230"/>
      <c r="AD349" s="242"/>
      <c r="AE349" s="190">
        <v>0</v>
      </c>
    </row>
    <row r="350" spans="1:31" ht="11.25">
      <c r="A350" s="112"/>
      <c r="C350" s="15" t="s">
        <v>10</v>
      </c>
      <c r="H350" s="478"/>
      <c r="I350" s="87"/>
      <c r="J350" s="87"/>
      <c r="K350" s="480"/>
      <c r="L350" s="159"/>
      <c r="M350" s="56"/>
      <c r="N350" s="87"/>
      <c r="O350" s="32"/>
      <c r="P350" s="89"/>
      <c r="Q350" s="56"/>
      <c r="R350" s="86"/>
      <c r="S350" s="33"/>
      <c r="T350" s="89"/>
      <c r="U350" s="56"/>
      <c r="V350" s="86"/>
      <c r="W350" s="33"/>
      <c r="X350" s="229"/>
      <c r="Y350" s="230"/>
      <c r="Z350" s="192"/>
      <c r="AA350" s="36"/>
      <c r="AB350" s="229"/>
      <c r="AC350" s="230"/>
      <c r="AD350" s="192"/>
      <c r="AE350" s="36"/>
    </row>
    <row r="351" spans="1:31" ht="11.25">
      <c r="A351" s="112" t="s">
        <v>520</v>
      </c>
      <c r="D351" s="15" t="s">
        <v>17</v>
      </c>
      <c r="H351" s="478"/>
      <c r="I351" s="87"/>
      <c r="J351" s="87"/>
      <c r="K351" s="480"/>
      <c r="L351" s="159"/>
      <c r="M351" s="56"/>
      <c r="N351" s="87"/>
      <c r="O351" s="32"/>
      <c r="P351" s="89"/>
      <c r="Q351" s="56"/>
      <c r="R351" s="96"/>
      <c r="S351" s="33"/>
      <c r="T351" s="89"/>
      <c r="U351" s="56"/>
      <c r="V351" s="96"/>
      <c r="W351" s="33"/>
      <c r="X351" s="229"/>
      <c r="Y351" s="230"/>
      <c r="Z351" s="100"/>
      <c r="AA351" s="36"/>
      <c r="AB351" s="229"/>
      <c r="AC351" s="230"/>
      <c r="AD351" s="100"/>
      <c r="AE351" s="36"/>
    </row>
    <row r="352" spans="1:31" ht="11.25">
      <c r="A352" s="112" t="s">
        <v>521</v>
      </c>
      <c r="D352" s="15" t="s">
        <v>18</v>
      </c>
      <c r="H352" s="478">
        <v>17382</v>
      </c>
      <c r="I352" s="87">
        <v>8142</v>
      </c>
      <c r="J352" s="87">
        <v>3000</v>
      </c>
      <c r="K352" s="480">
        <f>H352+I352+J352</f>
        <v>28524</v>
      </c>
      <c r="L352" s="159" t="s">
        <v>208</v>
      </c>
      <c r="M352" s="56">
        <v>1</v>
      </c>
      <c r="N352" s="189">
        <f>O352/M352</f>
        <v>28524</v>
      </c>
      <c r="O352" s="45">
        <f>K352</f>
        <v>28524</v>
      </c>
      <c r="P352" s="89" t="s">
        <v>208</v>
      </c>
      <c r="Q352" s="56">
        <v>1</v>
      </c>
      <c r="R352" s="189">
        <f>S352/Q352</f>
        <v>28524</v>
      </c>
      <c r="S352" s="190">
        <f>O352</f>
        <v>28524</v>
      </c>
      <c r="T352" s="89" t="s">
        <v>208</v>
      </c>
      <c r="U352" s="56">
        <v>1</v>
      </c>
      <c r="V352" s="189">
        <f>W352/U352</f>
        <v>28524</v>
      </c>
      <c r="W352" s="190">
        <f>S352</f>
        <v>28524</v>
      </c>
      <c r="X352" s="229" t="s">
        <v>208</v>
      </c>
      <c r="Y352" s="230">
        <v>1</v>
      </c>
      <c r="Z352" s="189">
        <v>28524</v>
      </c>
      <c r="AA352" s="190">
        <v>28524</v>
      </c>
      <c r="AB352" s="229" t="s">
        <v>208</v>
      </c>
      <c r="AC352" s="230">
        <v>1</v>
      </c>
      <c r="AD352" s="189">
        <v>28524</v>
      </c>
      <c r="AE352" s="190">
        <v>28524</v>
      </c>
    </row>
    <row r="353" spans="1:31" ht="11.25">
      <c r="A353" s="112"/>
      <c r="C353" s="15" t="s">
        <v>15</v>
      </c>
      <c r="H353" s="478"/>
      <c r="I353" s="87"/>
      <c r="J353" s="87"/>
      <c r="K353" s="480"/>
      <c r="L353" s="159"/>
      <c r="M353" s="56"/>
      <c r="N353" s="87"/>
      <c r="O353" s="32"/>
      <c r="P353" s="89"/>
      <c r="Q353" s="56"/>
      <c r="R353" s="96"/>
      <c r="S353" s="33"/>
      <c r="T353" s="89"/>
      <c r="U353" s="56"/>
      <c r="V353" s="96"/>
      <c r="W353" s="33"/>
      <c r="X353" s="229"/>
      <c r="Y353" s="230"/>
      <c r="Z353" s="100"/>
      <c r="AA353" s="36"/>
      <c r="AB353" s="229"/>
      <c r="AC353" s="230"/>
      <c r="AD353" s="100"/>
      <c r="AE353" s="36"/>
    </row>
    <row r="354" spans="1:31" ht="11.25">
      <c r="A354" s="112" t="s">
        <v>522</v>
      </c>
      <c r="D354" s="15" t="s">
        <v>17</v>
      </c>
      <c r="H354" s="478"/>
      <c r="I354" s="87"/>
      <c r="J354" s="87"/>
      <c r="K354" s="480"/>
      <c r="L354" s="159"/>
      <c r="M354" s="56"/>
      <c r="N354" s="87"/>
      <c r="O354" s="32"/>
      <c r="P354" s="89"/>
      <c r="Q354" s="56"/>
      <c r="R354" s="96"/>
      <c r="S354" s="33"/>
      <c r="T354" s="89"/>
      <c r="U354" s="56"/>
      <c r="V354" s="96"/>
      <c r="W354" s="33"/>
      <c r="X354" s="229"/>
      <c r="Y354" s="230"/>
      <c r="Z354" s="100"/>
      <c r="AA354" s="36"/>
      <c r="AB354" s="229"/>
      <c r="AC354" s="230"/>
      <c r="AD354" s="100"/>
      <c r="AE354" s="36"/>
    </row>
    <row r="355" spans="1:31" ht="11.25">
      <c r="A355" s="112" t="s">
        <v>523</v>
      </c>
      <c r="D355" s="15" t="s">
        <v>19</v>
      </c>
      <c r="H355" s="481"/>
      <c r="I355" s="87"/>
      <c r="J355" s="87"/>
      <c r="K355" s="480"/>
      <c r="L355" s="159"/>
      <c r="M355" s="56"/>
      <c r="N355" s="87"/>
      <c r="O355" s="32"/>
      <c r="P355" s="89"/>
      <c r="Q355" s="56"/>
      <c r="R355" s="96"/>
      <c r="S355" s="33"/>
      <c r="T355" s="89"/>
      <c r="U355" s="56"/>
      <c r="V355" s="96"/>
      <c r="W355" s="33"/>
      <c r="X355" s="229"/>
      <c r="Y355" s="230"/>
      <c r="Z355" s="100"/>
      <c r="AA355" s="36"/>
      <c r="AB355" s="229"/>
      <c r="AC355" s="230"/>
      <c r="AD355" s="100"/>
      <c r="AE355" s="36"/>
    </row>
    <row r="356" spans="1:31" ht="11.25">
      <c r="A356" s="112"/>
      <c r="C356" s="15" t="s">
        <v>20</v>
      </c>
      <c r="H356" s="478">
        <f>SUM(H350:H355)</f>
        <v>17382</v>
      </c>
      <c r="I356" s="87">
        <f>SUM(I350:I355)</f>
        <v>8142</v>
      </c>
      <c r="J356" s="87">
        <f>SUM(J350:J355)</f>
        <v>3000</v>
      </c>
      <c r="K356" s="480">
        <f>H356+I356+J356</f>
        <v>28524</v>
      </c>
      <c r="L356" s="159" t="s">
        <v>208</v>
      </c>
      <c r="M356" s="56">
        <f>SUM(M350:M355)</f>
        <v>1</v>
      </c>
      <c r="N356" s="189">
        <f>O356/M356</f>
        <v>28524</v>
      </c>
      <c r="O356" s="32">
        <f>SUM(O350:O355)</f>
        <v>28524</v>
      </c>
      <c r="P356" s="89" t="s">
        <v>208</v>
      </c>
      <c r="Q356" s="56">
        <f>SUM(Q350:Q355)</f>
        <v>1</v>
      </c>
      <c r="R356" s="87">
        <f>S356/Q356</f>
        <v>28524</v>
      </c>
      <c r="S356" s="88">
        <f>SUM(S350:S355)</f>
        <v>28524</v>
      </c>
      <c r="T356" s="89" t="s">
        <v>208</v>
      </c>
      <c r="U356" s="56">
        <f>SUM(U350:U355)</f>
        <v>1</v>
      </c>
      <c r="V356" s="87">
        <f>W356/U356</f>
        <v>28524</v>
      </c>
      <c r="W356" s="88">
        <f>SUM(W350:W355)</f>
        <v>28524</v>
      </c>
      <c r="X356" s="229" t="s">
        <v>208</v>
      </c>
      <c r="Y356" s="230">
        <f>SUM(Y350:Y355)</f>
        <v>1</v>
      </c>
      <c r="Z356" s="189">
        <f>AA356/Y356</f>
        <v>28524</v>
      </c>
      <c r="AA356" s="190">
        <f>SUM(AA350:AA355)</f>
        <v>28524</v>
      </c>
      <c r="AB356" s="229" t="s">
        <v>208</v>
      </c>
      <c r="AC356" s="230">
        <f>SUM(AC350:AC355)</f>
        <v>1</v>
      </c>
      <c r="AD356" s="189">
        <f>AE356/AC356</f>
        <v>28524</v>
      </c>
      <c r="AE356" s="190">
        <f>SUM(AE350:AE355)</f>
        <v>28524</v>
      </c>
    </row>
    <row r="357" spans="1:31" ht="11.25">
      <c r="A357" s="112"/>
      <c r="B357" s="98" t="s">
        <v>228</v>
      </c>
      <c r="H357" s="478">
        <f>H337+H349+H356</f>
        <v>17382</v>
      </c>
      <c r="I357" s="87">
        <f>I337+I349+I356</f>
        <v>8142</v>
      </c>
      <c r="J357" s="87">
        <f>J337+J349+J356</f>
        <v>3000</v>
      </c>
      <c r="K357" s="480">
        <f>K337+K349+K356</f>
        <v>28524</v>
      </c>
      <c r="L357" s="159" t="s">
        <v>208</v>
      </c>
      <c r="M357" s="56">
        <v>1</v>
      </c>
      <c r="N357" s="87">
        <f>O357/M357</f>
        <v>28524</v>
      </c>
      <c r="O357" s="32">
        <f>O337+O349+O356</f>
        <v>28524</v>
      </c>
      <c r="P357" s="89" t="s">
        <v>208</v>
      </c>
      <c r="Q357" s="56">
        <v>1</v>
      </c>
      <c r="R357" s="87">
        <f>S357/Q357</f>
        <v>28524</v>
      </c>
      <c r="S357" s="88">
        <f>S337+S349+S356</f>
        <v>28524</v>
      </c>
      <c r="T357" s="89" t="s">
        <v>208</v>
      </c>
      <c r="U357" s="56">
        <v>1</v>
      </c>
      <c r="V357" s="87">
        <f>W357/U357</f>
        <v>28524</v>
      </c>
      <c r="W357" s="88">
        <f>W337+W349+W356</f>
        <v>28524</v>
      </c>
      <c r="X357" s="229" t="s">
        <v>208</v>
      </c>
      <c r="Y357" s="230">
        <v>1</v>
      </c>
      <c r="Z357" s="189">
        <f>AA357/Y357</f>
        <v>28524</v>
      </c>
      <c r="AA357" s="190">
        <f>AA337+AA349+AA356</f>
        <v>28524</v>
      </c>
      <c r="AB357" s="229" t="s">
        <v>208</v>
      </c>
      <c r="AC357" s="230">
        <v>1</v>
      </c>
      <c r="AD357" s="189">
        <f>AE357/AC357</f>
        <v>28524</v>
      </c>
      <c r="AE357" s="190">
        <f>AE337+AE349+AE356</f>
        <v>28524</v>
      </c>
    </row>
    <row r="358" spans="1:31" ht="11.25">
      <c r="A358" s="97"/>
      <c r="H358" s="478"/>
      <c r="I358" s="87"/>
      <c r="J358" s="87"/>
      <c r="K358" s="480"/>
      <c r="L358" s="397"/>
      <c r="M358" s="332"/>
      <c r="N358" s="341"/>
      <c r="O358" s="379"/>
      <c r="P358" s="435"/>
      <c r="Q358" s="110"/>
      <c r="R358" s="110"/>
      <c r="S358" s="111"/>
      <c r="T358" s="408"/>
      <c r="U358" s="245"/>
      <c r="V358" s="245"/>
      <c r="W358" s="246"/>
      <c r="X358" s="244"/>
      <c r="Y358" s="245"/>
      <c r="Z358" s="245"/>
      <c r="AA358" s="246"/>
      <c r="AB358" s="244"/>
      <c r="AC358" s="245"/>
      <c r="AD358" s="245"/>
      <c r="AE358" s="246"/>
    </row>
    <row r="359" spans="1:31" ht="11.25">
      <c r="A359" s="97" t="s">
        <v>524</v>
      </c>
      <c r="B359" s="15" t="s">
        <v>234</v>
      </c>
      <c r="D359" s="98"/>
      <c r="E359" s="98"/>
      <c r="F359" s="98"/>
      <c r="G359" s="98"/>
      <c r="H359" s="261"/>
      <c r="I359" s="189"/>
      <c r="J359" s="189"/>
      <c r="K359" s="487"/>
      <c r="L359" s="417"/>
      <c r="M359" s="230"/>
      <c r="N359" s="189"/>
      <c r="O359" s="45"/>
      <c r="P359" s="124"/>
      <c r="Q359" s="113"/>
      <c r="R359" s="100"/>
      <c r="S359" s="36"/>
      <c r="T359" s="191"/>
      <c r="U359" s="113"/>
      <c r="V359" s="100"/>
      <c r="W359" s="36"/>
      <c r="X359" s="229"/>
      <c r="Y359" s="113"/>
      <c r="Z359" s="100"/>
      <c r="AA359" s="36"/>
      <c r="AB359" s="229"/>
      <c r="AC359" s="113"/>
      <c r="AD359" s="100"/>
      <c r="AE359" s="36"/>
    </row>
    <row r="360" spans="1:31" ht="11.25">
      <c r="A360" s="97" t="s">
        <v>525</v>
      </c>
      <c r="C360" s="15" t="s">
        <v>241</v>
      </c>
      <c r="D360" s="98"/>
      <c r="E360" s="98"/>
      <c r="F360" s="98"/>
      <c r="G360" s="98"/>
      <c r="H360" s="261">
        <v>114060</v>
      </c>
      <c r="I360" s="189">
        <v>31260</v>
      </c>
      <c r="J360" s="189">
        <v>50000</v>
      </c>
      <c r="K360" s="480">
        <f>H360+I360+J360</f>
        <v>195320</v>
      </c>
      <c r="L360" s="417" t="s">
        <v>208</v>
      </c>
      <c r="M360" s="230">
        <v>1</v>
      </c>
      <c r="N360" s="189">
        <f>O360/M360</f>
        <v>195320</v>
      </c>
      <c r="O360" s="45">
        <f>K360</f>
        <v>195320</v>
      </c>
      <c r="P360" s="124" t="s">
        <v>208</v>
      </c>
      <c r="Q360" s="230">
        <v>1</v>
      </c>
      <c r="R360" s="189">
        <f>S360/Q360</f>
        <v>195320</v>
      </c>
      <c r="S360" s="190">
        <f>O360</f>
        <v>195320</v>
      </c>
      <c r="T360" s="124" t="s">
        <v>208</v>
      </c>
      <c r="U360" s="230">
        <v>1</v>
      </c>
      <c r="V360" s="189">
        <f>W360/U360</f>
        <v>195320</v>
      </c>
      <c r="W360" s="190">
        <f>S360</f>
        <v>195320</v>
      </c>
      <c r="X360" s="229" t="s">
        <v>208</v>
      </c>
      <c r="Y360" s="230">
        <v>1</v>
      </c>
      <c r="Z360" s="189">
        <v>195320</v>
      </c>
      <c r="AA360" s="190">
        <v>195320</v>
      </c>
      <c r="AB360" s="229" t="s">
        <v>208</v>
      </c>
      <c r="AC360" s="230">
        <v>1</v>
      </c>
      <c r="AD360" s="189">
        <v>195320</v>
      </c>
      <c r="AE360" s="190">
        <v>195320</v>
      </c>
    </row>
    <row r="361" spans="1:31" ht="11.25">
      <c r="A361" s="97"/>
      <c r="C361" s="15" t="s">
        <v>31</v>
      </c>
      <c r="E361" s="98"/>
      <c r="F361" s="98"/>
      <c r="G361" s="98"/>
      <c r="H361" s="261"/>
      <c r="I361" s="189"/>
      <c r="J361" s="189"/>
      <c r="K361" s="480"/>
      <c r="L361" s="417"/>
      <c r="M361" s="230"/>
      <c r="N361" s="87"/>
      <c r="O361" s="45"/>
      <c r="P361" s="124"/>
      <c r="Q361" s="230"/>
      <c r="R361" s="87"/>
      <c r="S361" s="190"/>
      <c r="T361" s="124"/>
      <c r="U361" s="230"/>
      <c r="V361" s="87"/>
      <c r="W361" s="190"/>
      <c r="X361" s="229"/>
      <c r="Y361" s="230"/>
      <c r="Z361" s="189"/>
      <c r="AA361" s="190"/>
      <c r="AB361" s="229"/>
      <c r="AC361" s="230"/>
      <c r="AD361" s="189"/>
      <c r="AE361" s="190"/>
    </row>
    <row r="362" spans="1:31" ht="11.25">
      <c r="A362" s="97" t="s">
        <v>526</v>
      </c>
      <c r="D362" s="15" t="s">
        <v>177</v>
      </c>
      <c r="E362" s="98"/>
      <c r="F362" s="98"/>
      <c r="G362" s="98"/>
      <c r="H362" s="261">
        <v>17382</v>
      </c>
      <c r="I362" s="189">
        <v>8142</v>
      </c>
      <c r="J362" s="189">
        <v>0</v>
      </c>
      <c r="K362" s="480">
        <f>H362+I362+J362</f>
        <v>25524</v>
      </c>
      <c r="L362" s="417" t="s">
        <v>208</v>
      </c>
      <c r="M362" s="230">
        <v>1</v>
      </c>
      <c r="N362" s="189">
        <f>O362/M362</f>
        <v>25524</v>
      </c>
      <c r="O362" s="45">
        <f>K362</f>
        <v>25524</v>
      </c>
      <c r="P362" s="124" t="s">
        <v>208</v>
      </c>
      <c r="Q362" s="230">
        <v>1</v>
      </c>
      <c r="R362" s="189">
        <f>S362/Q362</f>
        <v>25524</v>
      </c>
      <c r="S362" s="190">
        <f>O362</f>
        <v>25524</v>
      </c>
      <c r="T362" s="124" t="s">
        <v>208</v>
      </c>
      <c r="U362" s="230">
        <v>1</v>
      </c>
      <c r="V362" s="189">
        <f>W362/U362</f>
        <v>25524</v>
      </c>
      <c r="W362" s="190">
        <f>S362</f>
        <v>25524</v>
      </c>
      <c r="X362" s="229" t="s">
        <v>208</v>
      </c>
      <c r="Y362" s="230">
        <v>1</v>
      </c>
      <c r="Z362" s="189">
        <v>25524</v>
      </c>
      <c r="AA362" s="190">
        <v>25524</v>
      </c>
      <c r="AB362" s="229" t="s">
        <v>208</v>
      </c>
      <c r="AC362" s="230">
        <v>1</v>
      </c>
      <c r="AD362" s="189">
        <v>25524</v>
      </c>
      <c r="AE362" s="190">
        <v>25524</v>
      </c>
    </row>
    <row r="363" spans="1:31" ht="11.25">
      <c r="A363" s="97" t="s">
        <v>527</v>
      </c>
      <c r="D363" s="15" t="s">
        <v>178</v>
      </c>
      <c r="E363" s="98"/>
      <c r="F363" s="98"/>
      <c r="G363" s="98"/>
      <c r="H363" s="261">
        <v>5562</v>
      </c>
      <c r="I363" s="189">
        <v>2605</v>
      </c>
      <c r="J363" s="189">
        <v>0</v>
      </c>
      <c r="K363" s="480">
        <f>H363+I363+J363</f>
        <v>8167</v>
      </c>
      <c r="L363" s="417" t="s">
        <v>213</v>
      </c>
      <c r="M363" s="230">
        <v>80</v>
      </c>
      <c r="N363" s="189">
        <f>O363/M363</f>
        <v>102.0875</v>
      </c>
      <c r="O363" s="45">
        <f>K363</f>
        <v>8167</v>
      </c>
      <c r="P363" s="124" t="s">
        <v>213</v>
      </c>
      <c r="Q363" s="230">
        <v>80</v>
      </c>
      <c r="R363" s="189">
        <f>S363/Q363</f>
        <v>102.0875</v>
      </c>
      <c r="S363" s="190">
        <f>O363</f>
        <v>8167</v>
      </c>
      <c r="T363" s="124" t="s">
        <v>213</v>
      </c>
      <c r="U363" s="230">
        <v>80</v>
      </c>
      <c r="V363" s="189">
        <f>W363/U363</f>
        <v>102.0875</v>
      </c>
      <c r="W363" s="190">
        <f>S363</f>
        <v>8167</v>
      </c>
      <c r="X363" s="229" t="s">
        <v>213</v>
      </c>
      <c r="Y363" s="230">
        <v>80</v>
      </c>
      <c r="Z363" s="189">
        <v>102.0875</v>
      </c>
      <c r="AA363" s="190">
        <v>8167</v>
      </c>
      <c r="AB363" s="229" t="s">
        <v>213</v>
      </c>
      <c r="AC363" s="230">
        <v>80</v>
      </c>
      <c r="AD363" s="189">
        <v>102.0875</v>
      </c>
      <c r="AE363" s="190">
        <v>8167</v>
      </c>
    </row>
    <row r="364" spans="1:31" ht="11.25">
      <c r="A364" s="112"/>
      <c r="C364" s="15" t="s">
        <v>10</v>
      </c>
      <c r="H364" s="478"/>
      <c r="I364" s="87"/>
      <c r="J364" s="87"/>
      <c r="K364" s="480"/>
      <c r="L364" s="159"/>
      <c r="M364" s="56"/>
      <c r="N364" s="87"/>
      <c r="O364" s="32"/>
      <c r="P364" s="89"/>
      <c r="Q364" s="56"/>
      <c r="R364" s="87"/>
      <c r="S364" s="88"/>
      <c r="T364" s="89"/>
      <c r="U364" s="56"/>
      <c r="V364" s="87"/>
      <c r="W364" s="88"/>
      <c r="X364" s="229"/>
      <c r="Y364" s="230"/>
      <c r="Z364" s="189"/>
      <c r="AA364" s="190"/>
      <c r="AB364" s="229"/>
      <c r="AC364" s="230"/>
      <c r="AD364" s="189"/>
      <c r="AE364" s="190"/>
    </row>
    <row r="365" spans="1:31" ht="11.25">
      <c r="A365" s="112" t="s">
        <v>528</v>
      </c>
      <c r="D365" s="98" t="s">
        <v>11</v>
      </c>
      <c r="H365" s="478">
        <f>5048+4147+3966+996+13102+92816+9015+9015+28474+13469+2644+22568+6826+3302+4868+4027+3706+734</f>
        <v>228723</v>
      </c>
      <c r="I365" s="87">
        <f>9690+7107+22454+150148+16841+8343+4532+36508+9344+6901</f>
        <v>271868</v>
      </c>
      <c r="J365" s="87">
        <v>0</v>
      </c>
      <c r="K365" s="480">
        <f>H365+I365+J365</f>
        <v>500591</v>
      </c>
      <c r="L365" s="159" t="s">
        <v>213</v>
      </c>
      <c r="M365" s="56">
        <f>30000+48000+9570+29000</f>
        <v>116570</v>
      </c>
      <c r="N365" s="242">
        <f>O365/M365</f>
        <v>4.294338165908896</v>
      </c>
      <c r="O365" s="45">
        <f>K365</f>
        <v>500591</v>
      </c>
      <c r="P365" s="89" t="s">
        <v>213</v>
      </c>
      <c r="Q365" s="56">
        <f>30000+48000+9570+29000</f>
        <v>116570</v>
      </c>
      <c r="R365" s="242">
        <f>S365/Q365</f>
        <v>4.294338165908896</v>
      </c>
      <c r="S365" s="190">
        <f>O365</f>
        <v>500591</v>
      </c>
      <c r="T365" s="89" t="s">
        <v>213</v>
      </c>
      <c r="U365" s="56">
        <f>30000+48000+9570+29000</f>
        <v>116570</v>
      </c>
      <c r="V365" s="242">
        <f>W365/U365</f>
        <v>4.294338165908896</v>
      </c>
      <c r="W365" s="190">
        <f>S365</f>
        <v>500591</v>
      </c>
      <c r="X365" s="229" t="s">
        <v>213</v>
      </c>
      <c r="Y365" s="230">
        <v>116570</v>
      </c>
      <c r="Z365" s="242">
        <v>4.294338165908896</v>
      </c>
      <c r="AA365" s="190">
        <v>500591</v>
      </c>
      <c r="AB365" s="229" t="s">
        <v>213</v>
      </c>
      <c r="AC365" s="230">
        <v>116570</v>
      </c>
      <c r="AD365" s="242">
        <v>4.294338165908896</v>
      </c>
      <c r="AE365" s="190">
        <v>500591</v>
      </c>
    </row>
    <row r="366" spans="1:31" ht="11.25">
      <c r="A366" s="112" t="s">
        <v>529</v>
      </c>
      <c r="D366" s="15" t="s">
        <v>12</v>
      </c>
      <c r="H366" s="478"/>
      <c r="I366" s="87"/>
      <c r="J366" s="87"/>
      <c r="K366" s="480"/>
      <c r="L366" s="159"/>
      <c r="M366" s="56"/>
      <c r="N366" s="87"/>
      <c r="O366" s="32"/>
      <c r="P366" s="89"/>
      <c r="Q366" s="56"/>
      <c r="R366" s="87"/>
      <c r="S366" s="88"/>
      <c r="T366" s="89"/>
      <c r="U366" s="56"/>
      <c r="V366" s="87"/>
      <c r="W366" s="88"/>
      <c r="X366" s="229"/>
      <c r="Y366" s="322"/>
      <c r="Z366" s="189"/>
      <c r="AA366" s="190"/>
      <c r="AB366" s="229"/>
      <c r="AC366" s="322"/>
      <c r="AD366" s="189"/>
      <c r="AE366" s="190"/>
    </row>
    <row r="367" spans="1:31" ht="11.25">
      <c r="A367" s="112" t="s">
        <v>530</v>
      </c>
      <c r="D367" s="15" t="s">
        <v>13</v>
      </c>
      <c r="H367" s="478"/>
      <c r="I367" s="87"/>
      <c r="J367" s="87"/>
      <c r="K367" s="480"/>
      <c r="L367" s="159"/>
      <c r="M367" s="56"/>
      <c r="N367" s="87"/>
      <c r="O367" s="32"/>
      <c r="P367" s="89"/>
      <c r="Q367" s="56"/>
      <c r="R367" s="87"/>
      <c r="S367" s="88"/>
      <c r="T367" s="89"/>
      <c r="U367" s="56"/>
      <c r="V367" s="87"/>
      <c r="W367" s="88"/>
      <c r="X367" s="229"/>
      <c r="Y367" s="230"/>
      <c r="Z367" s="189"/>
      <c r="AA367" s="190"/>
      <c r="AB367" s="229"/>
      <c r="AC367" s="230"/>
      <c r="AD367" s="189"/>
      <c r="AE367" s="190"/>
    </row>
    <row r="368" spans="1:31" ht="11.25">
      <c r="A368" s="112" t="s">
        <v>531</v>
      </c>
      <c r="D368" s="15" t="s">
        <v>14</v>
      </c>
      <c r="H368" s="478">
        <f>4005+1202+3626+1142</f>
        <v>9975</v>
      </c>
      <c r="I368" s="87">
        <f>5031+1627+4555+1546</f>
        <v>12759</v>
      </c>
      <c r="J368" s="87">
        <v>0</v>
      </c>
      <c r="K368" s="480">
        <f>H368+I368+J368</f>
        <v>22734</v>
      </c>
      <c r="L368" s="159" t="s">
        <v>213</v>
      </c>
      <c r="M368" s="56">
        <f>5000+4800</f>
        <v>9800</v>
      </c>
      <c r="N368" s="242">
        <f>O368/M368</f>
        <v>2.319795918367347</v>
      </c>
      <c r="O368" s="45">
        <f>K368</f>
        <v>22734</v>
      </c>
      <c r="P368" s="89" t="s">
        <v>213</v>
      </c>
      <c r="Q368" s="56">
        <f>5000+4800</f>
        <v>9800</v>
      </c>
      <c r="R368" s="242">
        <f>S368/Q368</f>
        <v>2.319795918367347</v>
      </c>
      <c r="S368" s="190">
        <f>O368</f>
        <v>22734</v>
      </c>
      <c r="T368" s="89" t="s">
        <v>213</v>
      </c>
      <c r="U368" s="56">
        <f>Q368*2</f>
        <v>19600</v>
      </c>
      <c r="V368" s="242">
        <f>R368*2</f>
        <v>4.639591836734694</v>
      </c>
      <c r="W368" s="190">
        <f>U368*V368</f>
        <v>90936</v>
      </c>
      <c r="X368" s="229" t="s">
        <v>213</v>
      </c>
      <c r="Y368" s="230">
        <v>19600</v>
      </c>
      <c r="Z368" s="242">
        <v>4.639591836734694</v>
      </c>
      <c r="AA368" s="190">
        <v>90936</v>
      </c>
      <c r="AB368" s="229" t="s">
        <v>213</v>
      </c>
      <c r="AC368" s="230">
        <v>19600</v>
      </c>
      <c r="AD368" s="242">
        <v>4.639591836734694</v>
      </c>
      <c r="AE368" s="190">
        <v>90936</v>
      </c>
    </row>
    <row r="369" spans="1:31" ht="11.25">
      <c r="A369" s="112"/>
      <c r="C369" s="15" t="s">
        <v>15</v>
      </c>
      <c r="H369" s="478"/>
      <c r="I369" s="87"/>
      <c r="J369" s="87"/>
      <c r="K369" s="480"/>
      <c r="L369" s="159"/>
      <c r="M369" s="56"/>
      <c r="N369" s="87"/>
      <c r="O369" s="32"/>
      <c r="P369" s="89"/>
      <c r="Q369" s="56"/>
      <c r="R369" s="87"/>
      <c r="S369" s="88"/>
      <c r="T369" s="89"/>
      <c r="U369" s="56"/>
      <c r="V369" s="87"/>
      <c r="W369" s="88"/>
      <c r="X369" s="229"/>
      <c r="Y369" s="230"/>
      <c r="Z369" s="189"/>
      <c r="AA369" s="190"/>
      <c r="AB369" s="229"/>
      <c r="AC369" s="230"/>
      <c r="AD369" s="189"/>
      <c r="AE369" s="190"/>
    </row>
    <row r="370" spans="1:31" ht="11.25">
      <c r="A370" s="112" t="s">
        <v>532</v>
      </c>
      <c r="D370" s="15" t="s">
        <v>11</v>
      </c>
      <c r="H370" s="478"/>
      <c r="I370" s="87"/>
      <c r="J370" s="87"/>
      <c r="K370" s="480"/>
      <c r="L370" s="159"/>
      <c r="M370" s="56"/>
      <c r="N370" s="87"/>
      <c r="O370" s="32"/>
      <c r="P370" s="89"/>
      <c r="Q370" s="56"/>
      <c r="R370" s="87"/>
      <c r="S370" s="88"/>
      <c r="T370" s="89"/>
      <c r="U370" s="56"/>
      <c r="V370" s="87"/>
      <c r="W370" s="88"/>
      <c r="X370" s="229"/>
      <c r="Y370" s="230"/>
      <c r="Z370" s="189"/>
      <c r="AA370" s="190"/>
      <c r="AB370" s="229"/>
      <c r="AC370" s="230"/>
      <c r="AD370" s="189"/>
      <c r="AE370" s="190"/>
    </row>
    <row r="371" spans="1:31" ht="11.25">
      <c r="A371" s="112" t="s">
        <v>533</v>
      </c>
      <c r="D371" s="15" t="s">
        <v>12</v>
      </c>
      <c r="H371" s="478"/>
      <c r="I371" s="87"/>
      <c r="J371" s="87"/>
      <c r="K371" s="480"/>
      <c r="L371" s="159"/>
      <c r="M371" s="56"/>
      <c r="N371" s="87"/>
      <c r="O371" s="32"/>
      <c r="P371" s="89"/>
      <c r="Q371" s="56"/>
      <c r="R371" s="87"/>
      <c r="S371" s="88"/>
      <c r="T371" s="89"/>
      <c r="U371" s="56"/>
      <c r="V371" s="87"/>
      <c r="W371" s="88"/>
      <c r="X371" s="229"/>
      <c r="Y371" s="230"/>
      <c r="Z371" s="189"/>
      <c r="AA371" s="190"/>
      <c r="AB371" s="229"/>
      <c r="AC371" s="230"/>
      <c r="AD371" s="189"/>
      <c r="AE371" s="190"/>
    </row>
    <row r="372" spans="1:31" ht="11.25">
      <c r="A372" s="112" t="s">
        <v>534</v>
      </c>
      <c r="D372" s="15" t="s">
        <v>13</v>
      </c>
      <c r="H372" s="478"/>
      <c r="I372" s="87"/>
      <c r="J372" s="87"/>
      <c r="K372" s="480"/>
      <c r="L372" s="159"/>
      <c r="M372" s="56"/>
      <c r="N372" s="87"/>
      <c r="O372" s="32"/>
      <c r="P372" s="89"/>
      <c r="Q372" s="56"/>
      <c r="R372" s="87"/>
      <c r="S372" s="88"/>
      <c r="T372" s="89"/>
      <c r="U372" s="56"/>
      <c r="V372" s="87"/>
      <c r="W372" s="88"/>
      <c r="X372" s="229"/>
      <c r="Y372" s="230"/>
      <c r="Z372" s="189"/>
      <c r="AA372" s="190"/>
      <c r="AB372" s="229"/>
      <c r="AC372" s="230"/>
      <c r="AD372" s="189"/>
      <c r="AE372" s="190"/>
    </row>
    <row r="373" spans="1:31" ht="11.25">
      <c r="A373" s="112" t="s">
        <v>535</v>
      </c>
      <c r="D373" s="15" t="s">
        <v>14</v>
      </c>
      <c r="H373" s="478"/>
      <c r="I373" s="87"/>
      <c r="J373" s="87"/>
      <c r="K373" s="480"/>
      <c r="L373" s="159"/>
      <c r="M373" s="56"/>
      <c r="N373" s="87"/>
      <c r="O373" s="32"/>
      <c r="P373" s="89"/>
      <c r="Q373" s="56"/>
      <c r="R373" s="86"/>
      <c r="S373" s="33"/>
      <c r="T373" s="89"/>
      <c r="U373" s="56"/>
      <c r="V373" s="86"/>
      <c r="W373" s="33"/>
      <c r="X373" s="229"/>
      <c r="Y373" s="230"/>
      <c r="Z373" s="192"/>
      <c r="AA373" s="36"/>
      <c r="AB373" s="229"/>
      <c r="AC373" s="230"/>
      <c r="AD373" s="192"/>
      <c r="AE373" s="36"/>
    </row>
    <row r="374" spans="1:31" ht="11.25">
      <c r="A374" s="112"/>
      <c r="C374" s="15" t="s">
        <v>16</v>
      </c>
      <c r="H374" s="478">
        <f>SUM(H364:H373)</f>
        <v>238698</v>
      </c>
      <c r="I374" s="87">
        <f>SUM(I364:I373)</f>
        <v>284627</v>
      </c>
      <c r="J374" s="87">
        <f>SUM(J364:J373)</f>
        <v>0</v>
      </c>
      <c r="K374" s="480">
        <f>H374+I374+J374</f>
        <v>523325</v>
      </c>
      <c r="L374" s="159" t="s">
        <v>213</v>
      </c>
      <c r="M374" s="56">
        <f>M365</f>
        <v>116570</v>
      </c>
      <c r="N374" s="242">
        <f>O374/M374</f>
        <v>4.489362614737925</v>
      </c>
      <c r="O374" s="32">
        <f>SUM(O364:O373)</f>
        <v>523325</v>
      </c>
      <c r="P374" s="89" t="s">
        <v>213</v>
      </c>
      <c r="Q374" s="56">
        <f>Q365</f>
        <v>116570</v>
      </c>
      <c r="R374" s="107">
        <f>S374/Q374</f>
        <v>4.489362614737925</v>
      </c>
      <c r="S374" s="88">
        <f>SUM(S364:S373)</f>
        <v>523325</v>
      </c>
      <c r="T374" s="89" t="s">
        <v>213</v>
      </c>
      <c r="U374" s="56">
        <f>U365</f>
        <v>116570</v>
      </c>
      <c r="V374" s="107">
        <f>W374/U374</f>
        <v>5.074435961225015</v>
      </c>
      <c r="W374" s="88">
        <f>SUM(W364:W373)</f>
        <v>591527</v>
      </c>
      <c r="X374" s="229" t="s">
        <v>213</v>
      </c>
      <c r="Y374" s="230">
        <f>Y365</f>
        <v>116570</v>
      </c>
      <c r="Z374" s="242">
        <f>AA374/Y374</f>
        <v>5.074435961225015</v>
      </c>
      <c r="AA374" s="190">
        <f>SUM(AA364:AA373)</f>
        <v>591527</v>
      </c>
      <c r="AB374" s="229" t="s">
        <v>213</v>
      </c>
      <c r="AC374" s="230">
        <f>AC365</f>
        <v>116570</v>
      </c>
      <c r="AD374" s="242">
        <f>AE374/AC374</f>
        <v>5.074435961225015</v>
      </c>
      <c r="AE374" s="190">
        <f>SUM(AE364:AE373)</f>
        <v>591527</v>
      </c>
    </row>
    <row r="375" spans="1:31" ht="11.25">
      <c r="A375" s="112"/>
      <c r="C375" s="15" t="s">
        <v>10</v>
      </c>
      <c r="H375" s="478"/>
      <c r="I375" s="87"/>
      <c r="J375" s="87"/>
      <c r="K375" s="480"/>
      <c r="L375" s="159"/>
      <c r="M375" s="56"/>
      <c r="N375" s="87"/>
      <c r="O375" s="32"/>
      <c r="P375" s="89"/>
      <c r="Q375" s="56"/>
      <c r="R375" s="86"/>
      <c r="S375" s="33"/>
      <c r="T375" s="89"/>
      <c r="U375" s="56"/>
      <c r="V375" s="86"/>
      <c r="W375" s="33"/>
      <c r="X375" s="229"/>
      <c r="Y375" s="230"/>
      <c r="Z375" s="192"/>
      <c r="AA375" s="36"/>
      <c r="AB375" s="229"/>
      <c r="AC375" s="230"/>
      <c r="AD375" s="192"/>
      <c r="AE375" s="36"/>
    </row>
    <row r="376" spans="1:31" ht="11.25">
      <c r="A376" s="112" t="s">
        <v>536</v>
      </c>
      <c r="D376" s="15" t="s">
        <v>17</v>
      </c>
      <c r="H376" s="478"/>
      <c r="I376" s="87"/>
      <c r="J376" s="87"/>
      <c r="K376" s="480"/>
      <c r="L376" s="159"/>
      <c r="M376" s="56"/>
      <c r="N376" s="87"/>
      <c r="O376" s="32"/>
      <c r="P376" s="89"/>
      <c r="Q376" s="56"/>
      <c r="R376" s="96"/>
      <c r="S376" s="33"/>
      <c r="T376" s="89"/>
      <c r="U376" s="56"/>
      <c r="V376" s="96"/>
      <c r="W376" s="33"/>
      <c r="X376" s="229"/>
      <c r="Y376" s="230"/>
      <c r="Z376" s="100"/>
      <c r="AA376" s="36"/>
      <c r="AB376" s="229"/>
      <c r="AC376" s="230"/>
      <c r="AD376" s="100"/>
      <c r="AE376" s="36"/>
    </row>
    <row r="377" spans="1:31" ht="11.25">
      <c r="A377" s="112" t="s">
        <v>537</v>
      </c>
      <c r="D377" s="15" t="s">
        <v>18</v>
      </c>
      <c r="H377" s="478">
        <f>1948+1894</f>
        <v>3842</v>
      </c>
      <c r="I377" s="87">
        <f>1557+1514</f>
        <v>3071</v>
      </c>
      <c r="J377" s="87">
        <f>900+870</f>
        <v>1770</v>
      </c>
      <c r="K377" s="480">
        <f>H377+I377+J377</f>
        <v>8683</v>
      </c>
      <c r="L377" s="159" t="s">
        <v>214</v>
      </c>
      <c r="M377" s="56">
        <f>30000+29000</f>
        <v>59000</v>
      </c>
      <c r="N377" s="242">
        <f>O377/M377</f>
        <v>0.14716949152542372</v>
      </c>
      <c r="O377" s="45">
        <f>K377</f>
        <v>8683</v>
      </c>
      <c r="P377" s="89" t="s">
        <v>214</v>
      </c>
      <c r="Q377" s="56">
        <f>30000+29000</f>
        <v>59000</v>
      </c>
      <c r="R377" s="242">
        <f>S377/Q377</f>
        <v>0.14716949152542372</v>
      </c>
      <c r="S377" s="190">
        <f>O377</f>
        <v>8683</v>
      </c>
      <c r="T377" s="89" t="s">
        <v>214</v>
      </c>
      <c r="U377" s="56">
        <f>30000+29000</f>
        <v>59000</v>
      </c>
      <c r="V377" s="242">
        <v>0.31</v>
      </c>
      <c r="W377" s="190">
        <f>U377*V377</f>
        <v>18290</v>
      </c>
      <c r="X377" s="229" t="s">
        <v>214</v>
      </c>
      <c r="Y377" s="230">
        <v>59000</v>
      </c>
      <c r="Z377" s="242">
        <v>0.31</v>
      </c>
      <c r="AA377" s="190">
        <v>18290</v>
      </c>
      <c r="AB377" s="229" t="s">
        <v>214</v>
      </c>
      <c r="AC377" s="230">
        <v>59000</v>
      </c>
      <c r="AD377" s="242">
        <v>0.31</v>
      </c>
      <c r="AE377" s="190">
        <v>18290</v>
      </c>
    </row>
    <row r="378" spans="1:31" ht="11.25">
      <c r="A378" s="112"/>
      <c r="C378" s="15" t="s">
        <v>15</v>
      </c>
      <c r="H378" s="478"/>
      <c r="I378" s="87"/>
      <c r="J378" s="87"/>
      <c r="K378" s="480"/>
      <c r="L378" s="159"/>
      <c r="M378" s="56"/>
      <c r="N378" s="87"/>
      <c r="O378" s="32"/>
      <c r="P378" s="89"/>
      <c r="Q378" s="56"/>
      <c r="R378" s="96"/>
      <c r="S378" s="33"/>
      <c r="T378" s="89"/>
      <c r="U378" s="56"/>
      <c r="V378" s="96"/>
      <c r="W378" s="33"/>
      <c r="X378" s="229"/>
      <c r="Y378" s="230"/>
      <c r="Z378" s="100"/>
      <c r="AA378" s="36"/>
      <c r="AB378" s="229"/>
      <c r="AC378" s="230"/>
      <c r="AD378" s="100"/>
      <c r="AE378" s="36"/>
    </row>
    <row r="379" spans="1:31" ht="11.25">
      <c r="A379" s="112" t="s">
        <v>538</v>
      </c>
      <c r="D379" s="15" t="s">
        <v>17</v>
      </c>
      <c r="H379" s="478"/>
      <c r="I379" s="87"/>
      <c r="J379" s="87"/>
      <c r="K379" s="480"/>
      <c r="L379" s="159"/>
      <c r="M379" s="56"/>
      <c r="N379" s="87"/>
      <c r="O379" s="32"/>
      <c r="P379" s="89"/>
      <c r="Q379" s="56"/>
      <c r="R379" s="96"/>
      <c r="S379" s="33"/>
      <c r="T379" s="89"/>
      <c r="U379" s="56"/>
      <c r="V379" s="96"/>
      <c r="W379" s="33"/>
      <c r="X379" s="229"/>
      <c r="Y379" s="230"/>
      <c r="Z379" s="100"/>
      <c r="AA379" s="36"/>
      <c r="AB379" s="229"/>
      <c r="AC379" s="230"/>
      <c r="AD379" s="100"/>
      <c r="AE379" s="36"/>
    </row>
    <row r="380" spans="1:31" ht="11.25">
      <c r="A380" s="112" t="s">
        <v>539</v>
      </c>
      <c r="D380" s="15" t="s">
        <v>19</v>
      </c>
      <c r="H380" s="481"/>
      <c r="I380" s="87"/>
      <c r="J380" s="87"/>
      <c r="K380" s="480"/>
      <c r="L380" s="159"/>
      <c r="M380" s="56"/>
      <c r="N380" s="87"/>
      <c r="O380" s="32"/>
      <c r="P380" s="89"/>
      <c r="Q380" s="56"/>
      <c r="R380" s="96"/>
      <c r="S380" s="33"/>
      <c r="T380" s="89"/>
      <c r="U380" s="56"/>
      <c r="V380" s="96"/>
      <c r="W380" s="33"/>
      <c r="X380" s="229"/>
      <c r="Y380" s="230"/>
      <c r="Z380" s="100"/>
      <c r="AA380" s="36"/>
      <c r="AB380" s="229"/>
      <c r="AC380" s="230"/>
      <c r="AD380" s="100"/>
      <c r="AE380" s="36"/>
    </row>
    <row r="381" spans="1:31" ht="11.25">
      <c r="A381" s="112"/>
      <c r="C381" s="15" t="s">
        <v>20</v>
      </c>
      <c r="H381" s="478">
        <f>SUM(H375:H380)</f>
        <v>3842</v>
      </c>
      <c r="I381" s="87">
        <f>SUM(I375:I380)</f>
        <v>3071</v>
      </c>
      <c r="J381" s="87">
        <f>SUM(J375:J380)</f>
        <v>1770</v>
      </c>
      <c r="K381" s="480">
        <f>H381+I381+J381</f>
        <v>8683</v>
      </c>
      <c r="L381" s="159" t="s">
        <v>214</v>
      </c>
      <c r="M381" s="56">
        <f>M377</f>
        <v>59000</v>
      </c>
      <c r="N381" s="107">
        <f>O381/M381</f>
        <v>0.14716949152542372</v>
      </c>
      <c r="O381" s="32">
        <f>SUM(O375:O380)</f>
        <v>8683</v>
      </c>
      <c r="P381" s="89" t="s">
        <v>214</v>
      </c>
      <c r="Q381" s="56">
        <f>Q377</f>
        <v>59000</v>
      </c>
      <c r="R381" s="107">
        <f>S381/Q381</f>
        <v>0.14716949152542372</v>
      </c>
      <c r="S381" s="88">
        <f>SUM(S375:S380)</f>
        <v>8683</v>
      </c>
      <c r="T381" s="89" t="s">
        <v>214</v>
      </c>
      <c r="U381" s="56">
        <f>U377</f>
        <v>59000</v>
      </c>
      <c r="V381" s="107">
        <f>W381/U381</f>
        <v>0.31</v>
      </c>
      <c r="W381" s="88">
        <f>SUM(W375:W380)</f>
        <v>18290</v>
      </c>
      <c r="X381" s="229" t="s">
        <v>214</v>
      </c>
      <c r="Y381" s="230">
        <f>Y377</f>
        <v>59000</v>
      </c>
      <c r="Z381" s="242">
        <f>AA381/Y381</f>
        <v>0.31</v>
      </c>
      <c r="AA381" s="190">
        <f>SUM(AA375:AA380)</f>
        <v>18290</v>
      </c>
      <c r="AB381" s="229" t="s">
        <v>214</v>
      </c>
      <c r="AC381" s="230">
        <f>AC377</f>
        <v>59000</v>
      </c>
      <c r="AD381" s="242">
        <f>AE381/AC381</f>
        <v>0.31</v>
      </c>
      <c r="AE381" s="190">
        <f>SUM(AE375:AE380)</f>
        <v>18290</v>
      </c>
    </row>
    <row r="382" spans="1:31" ht="11.25">
      <c r="A382" s="112"/>
      <c r="B382" s="15" t="s">
        <v>207</v>
      </c>
      <c r="H382" s="478">
        <f>H360+H362+H363+H374+H381</f>
        <v>379544</v>
      </c>
      <c r="I382" s="87">
        <f>I360+I362+I363+I374+I381</f>
        <v>329705</v>
      </c>
      <c r="J382" s="87">
        <f>J360+J362+J363+J374+J381</f>
        <v>51770</v>
      </c>
      <c r="K382" s="480">
        <f>K360+K362+K363+K374+K381</f>
        <v>761019</v>
      </c>
      <c r="L382" s="159" t="s">
        <v>213</v>
      </c>
      <c r="M382" s="56">
        <f>M374</f>
        <v>116570</v>
      </c>
      <c r="N382" s="107">
        <f>O382/M382</f>
        <v>6.528429269966543</v>
      </c>
      <c r="O382" s="32">
        <f>O360+O362+O363+O374+O381</f>
        <v>761019</v>
      </c>
      <c r="P382" s="89" t="s">
        <v>213</v>
      </c>
      <c r="Q382" s="56">
        <f>Q374</f>
        <v>116570</v>
      </c>
      <c r="R382" s="107">
        <f>S382/Q382</f>
        <v>6.528429269966543</v>
      </c>
      <c r="S382" s="88">
        <f>S360+S362+S363+S374+S381</f>
        <v>761019</v>
      </c>
      <c r="T382" s="89" t="s">
        <v>213</v>
      </c>
      <c r="U382" s="56">
        <f>U374</f>
        <v>116570</v>
      </c>
      <c r="V382" s="107">
        <f>W382/U382</f>
        <v>7.195916616625204</v>
      </c>
      <c r="W382" s="88">
        <f>W360+W362+W363+W374+W381</f>
        <v>838828</v>
      </c>
      <c r="X382" s="229" t="s">
        <v>213</v>
      </c>
      <c r="Y382" s="230">
        <f>Y374</f>
        <v>116570</v>
      </c>
      <c r="Z382" s="242">
        <f>AA382/Y382</f>
        <v>7.195916616625204</v>
      </c>
      <c r="AA382" s="190">
        <f>AA360+AA362+AA363+AA374+AA381</f>
        <v>838828</v>
      </c>
      <c r="AB382" s="229" t="s">
        <v>213</v>
      </c>
      <c r="AC382" s="230">
        <f>AC374</f>
        <v>116570</v>
      </c>
      <c r="AD382" s="242">
        <f>AE382/AC382</f>
        <v>7.195916616625204</v>
      </c>
      <c r="AE382" s="190">
        <f>AE360+AE362+AE363+AE374+AE381</f>
        <v>838828</v>
      </c>
    </row>
    <row r="383" spans="1:31" ht="11.25">
      <c r="A383" s="112"/>
      <c r="H383" s="478"/>
      <c r="I383" s="87"/>
      <c r="J383" s="87"/>
      <c r="K383" s="480"/>
      <c r="L383" s="159"/>
      <c r="M383" s="56"/>
      <c r="N383" s="87"/>
      <c r="O383" s="32"/>
      <c r="P383" s="89"/>
      <c r="Q383" s="56"/>
      <c r="R383" s="87"/>
      <c r="S383" s="88"/>
      <c r="T383" s="191"/>
      <c r="U383" s="230"/>
      <c r="V383" s="189"/>
      <c r="W383" s="190"/>
      <c r="X383" s="229"/>
      <c r="Y383" s="230"/>
      <c r="Z383" s="189"/>
      <c r="AA383" s="190"/>
      <c r="AB383" s="229"/>
      <c r="AC383" s="230"/>
      <c r="AD383" s="189"/>
      <c r="AE383" s="190"/>
    </row>
    <row r="384" spans="1:31" ht="11.25">
      <c r="A384" s="97" t="s">
        <v>551</v>
      </c>
      <c r="B384" s="98" t="s">
        <v>251</v>
      </c>
      <c r="C384" s="98"/>
      <c r="D384" s="98"/>
      <c r="E384" s="98"/>
      <c r="F384" s="98"/>
      <c r="G384" s="98"/>
      <c r="H384" s="261"/>
      <c r="I384" s="189"/>
      <c r="J384" s="189"/>
      <c r="K384" s="480"/>
      <c r="L384" s="417"/>
      <c r="M384" s="230"/>
      <c r="N384" s="87"/>
      <c r="O384" s="45"/>
      <c r="P384" s="124"/>
      <c r="Q384" s="113"/>
      <c r="R384" s="87"/>
      <c r="S384" s="36"/>
      <c r="T384" s="191"/>
      <c r="U384" s="113"/>
      <c r="V384" s="189"/>
      <c r="W384" s="36"/>
      <c r="X384" s="229"/>
      <c r="Y384" s="113"/>
      <c r="Z384" s="189"/>
      <c r="AA384" s="36"/>
      <c r="AB384" s="229"/>
      <c r="AC384" s="113"/>
      <c r="AD384" s="189"/>
      <c r="AE384" s="36"/>
    </row>
    <row r="385" spans="1:31" ht="11.25">
      <c r="A385" s="97"/>
      <c r="B385" s="98"/>
      <c r="C385" s="98" t="s">
        <v>31</v>
      </c>
      <c r="D385" s="98"/>
      <c r="E385" s="98"/>
      <c r="F385" s="98"/>
      <c r="G385" s="98"/>
      <c r="H385" s="261"/>
      <c r="I385" s="189"/>
      <c r="J385" s="189"/>
      <c r="K385" s="480"/>
      <c r="L385" s="417"/>
      <c r="M385" s="230"/>
      <c r="N385" s="87"/>
      <c r="O385" s="45"/>
      <c r="P385" s="124"/>
      <c r="Q385" s="113"/>
      <c r="R385" s="87"/>
      <c r="S385" s="36"/>
      <c r="T385" s="191"/>
      <c r="U385" s="113"/>
      <c r="V385" s="189"/>
      <c r="W385" s="36"/>
      <c r="X385" s="229"/>
      <c r="Y385" s="113"/>
      <c r="Z385" s="189"/>
      <c r="AA385" s="36"/>
      <c r="AB385" s="229"/>
      <c r="AC385" s="113"/>
      <c r="AD385" s="189"/>
      <c r="AE385" s="36"/>
    </row>
    <row r="386" spans="1:31" ht="11.25">
      <c r="A386" s="97" t="s">
        <v>509</v>
      </c>
      <c r="B386" s="98"/>
      <c r="C386" s="98"/>
      <c r="D386" s="98" t="s">
        <v>177</v>
      </c>
      <c r="E386" s="98"/>
      <c r="F386" s="98"/>
      <c r="G386" s="98"/>
      <c r="H386" s="261">
        <f>23176+28970+3422+1141+704</f>
        <v>57413</v>
      </c>
      <c r="I386" s="189">
        <f>10856+13570+938+313+914</f>
        <v>26591</v>
      </c>
      <c r="J386" s="189">
        <v>0</v>
      </c>
      <c r="K386" s="480">
        <f>H386+I386+J386</f>
        <v>84004</v>
      </c>
      <c r="L386" s="417" t="s">
        <v>208</v>
      </c>
      <c r="M386" s="230">
        <v>4</v>
      </c>
      <c r="N386" s="189">
        <f>O386/M386</f>
        <v>21001</v>
      </c>
      <c r="O386" s="45">
        <f>K386</f>
        <v>84004</v>
      </c>
      <c r="P386" s="124" t="s">
        <v>208</v>
      </c>
      <c r="Q386" s="230">
        <v>4</v>
      </c>
      <c r="R386" s="189">
        <f>S386/Q386</f>
        <v>21001</v>
      </c>
      <c r="S386" s="190">
        <f>O386</f>
        <v>84004</v>
      </c>
      <c r="T386" s="124" t="s">
        <v>208</v>
      </c>
      <c r="U386" s="230">
        <v>4</v>
      </c>
      <c r="V386" s="189">
        <f>W386/U386</f>
        <v>21001</v>
      </c>
      <c r="W386" s="190">
        <f>S386</f>
        <v>84004</v>
      </c>
      <c r="X386" s="229" t="s">
        <v>208</v>
      </c>
      <c r="Y386" s="230">
        <v>4</v>
      </c>
      <c r="Z386" s="189">
        <v>21001</v>
      </c>
      <c r="AA386" s="190">
        <v>84004</v>
      </c>
      <c r="AB386" s="229" t="s">
        <v>208</v>
      </c>
      <c r="AC386" s="230">
        <v>4</v>
      </c>
      <c r="AD386" s="189">
        <v>21001</v>
      </c>
      <c r="AE386" s="190">
        <v>84004</v>
      </c>
    </row>
    <row r="387" spans="1:31" ht="11.25">
      <c r="A387" s="97" t="s">
        <v>552</v>
      </c>
      <c r="B387" s="98"/>
      <c r="C387" s="98"/>
      <c r="D387" s="98" t="s">
        <v>178</v>
      </c>
      <c r="E387" s="98"/>
      <c r="F387" s="98"/>
      <c r="G387" s="98"/>
      <c r="H387" s="261">
        <v>7648</v>
      </c>
      <c r="I387" s="189">
        <v>3582</v>
      </c>
      <c r="J387" s="189">
        <v>0</v>
      </c>
      <c r="K387" s="480">
        <f>H387+I387+J387</f>
        <v>11230</v>
      </c>
      <c r="L387" s="417" t="s">
        <v>213</v>
      </c>
      <c r="M387" s="230">
        <v>110</v>
      </c>
      <c r="N387" s="189">
        <f>O387/M387</f>
        <v>102.0909090909091</v>
      </c>
      <c r="O387" s="45">
        <f>K387</f>
        <v>11230</v>
      </c>
      <c r="P387" s="124" t="s">
        <v>213</v>
      </c>
      <c r="Q387" s="230">
        <v>110</v>
      </c>
      <c r="R387" s="189">
        <f>S387/Q387</f>
        <v>102.0909090909091</v>
      </c>
      <c r="S387" s="190">
        <f>O387</f>
        <v>11230</v>
      </c>
      <c r="T387" s="124" t="s">
        <v>213</v>
      </c>
      <c r="U387" s="230">
        <v>110</v>
      </c>
      <c r="V387" s="189">
        <f>W387/U387</f>
        <v>102.0909090909091</v>
      </c>
      <c r="W387" s="190">
        <f>S387</f>
        <v>11230</v>
      </c>
      <c r="X387" s="229" t="s">
        <v>213</v>
      </c>
      <c r="Y387" s="230">
        <v>110</v>
      </c>
      <c r="Z387" s="189">
        <v>102.0909090909091</v>
      </c>
      <c r="AA387" s="190">
        <v>11230</v>
      </c>
      <c r="AB387" s="229" t="s">
        <v>213</v>
      </c>
      <c r="AC387" s="230">
        <v>110</v>
      </c>
      <c r="AD387" s="189">
        <v>102.0909090909091</v>
      </c>
      <c r="AE387" s="190">
        <v>11230</v>
      </c>
    </row>
    <row r="388" spans="1:31" ht="11.25">
      <c r="A388" s="112"/>
      <c r="B388" s="98"/>
      <c r="C388" s="98" t="s">
        <v>10</v>
      </c>
      <c r="D388" s="98"/>
      <c r="E388" s="98"/>
      <c r="F388" s="98"/>
      <c r="G388" s="98"/>
      <c r="H388" s="261"/>
      <c r="I388" s="189"/>
      <c r="J388" s="189"/>
      <c r="K388" s="487"/>
      <c r="L388" s="417"/>
      <c r="M388" s="230"/>
      <c r="N388" s="189"/>
      <c r="O388" s="45"/>
      <c r="P388" s="124"/>
      <c r="Q388" s="230"/>
      <c r="R388" s="189"/>
      <c r="S388" s="190"/>
      <c r="T388" s="124"/>
      <c r="U388" s="230"/>
      <c r="V388" s="189"/>
      <c r="W388" s="190"/>
      <c r="X388" s="229"/>
      <c r="Y388" s="230"/>
      <c r="Z388" s="189"/>
      <c r="AA388" s="190"/>
      <c r="AB388" s="229"/>
      <c r="AC388" s="230"/>
      <c r="AD388" s="189"/>
      <c r="AE388" s="190"/>
    </row>
    <row r="389" spans="1:31" ht="11.25">
      <c r="A389" s="112" t="s">
        <v>553</v>
      </c>
      <c r="B389" s="98"/>
      <c r="C389" s="98"/>
      <c r="D389" s="98" t="s">
        <v>11</v>
      </c>
      <c r="E389" s="98"/>
      <c r="F389" s="98"/>
      <c r="G389" s="98"/>
      <c r="H389" s="261">
        <f>5169+4327+4031+839</f>
        <v>14366</v>
      </c>
      <c r="I389" s="189">
        <f>9921+7416</f>
        <v>17337</v>
      </c>
      <c r="J389" s="189">
        <v>0</v>
      </c>
      <c r="K389" s="480">
        <f>H389+I389+J389</f>
        <v>31703</v>
      </c>
      <c r="L389" s="417" t="s">
        <v>213</v>
      </c>
      <c r="M389" s="230">
        <f>31000</f>
        <v>31000</v>
      </c>
      <c r="N389" s="242">
        <f>O389/M389</f>
        <v>1.0226774193548387</v>
      </c>
      <c r="O389" s="45">
        <f>K389</f>
        <v>31703</v>
      </c>
      <c r="P389" s="124" t="s">
        <v>213</v>
      </c>
      <c r="Q389" s="230">
        <f>31000</f>
        <v>31000</v>
      </c>
      <c r="R389" s="242">
        <f>S389/Q389</f>
        <v>1.0226774193548387</v>
      </c>
      <c r="S389" s="190">
        <f>O389</f>
        <v>31703</v>
      </c>
      <c r="T389" s="124" t="s">
        <v>213</v>
      </c>
      <c r="U389" s="230">
        <f>31000</f>
        <v>31000</v>
      </c>
      <c r="V389" s="242">
        <f>W389/U389</f>
        <v>1.0226774193548387</v>
      </c>
      <c r="W389" s="190">
        <f>S389</f>
        <v>31703</v>
      </c>
      <c r="X389" s="229" t="s">
        <v>213</v>
      </c>
      <c r="Y389" s="230">
        <v>31000</v>
      </c>
      <c r="Z389" s="242">
        <v>1.0226774193548387</v>
      </c>
      <c r="AA389" s="190">
        <v>31703</v>
      </c>
      <c r="AB389" s="229" t="s">
        <v>213</v>
      </c>
      <c r="AC389" s="230">
        <v>31000</v>
      </c>
      <c r="AD389" s="242">
        <v>1.0226774193548387</v>
      </c>
      <c r="AE389" s="190">
        <v>31703</v>
      </c>
    </row>
    <row r="390" spans="1:31" ht="11.25">
      <c r="A390" s="112" t="s">
        <v>554</v>
      </c>
      <c r="B390" s="98"/>
      <c r="C390" s="98"/>
      <c r="D390" s="98" t="s">
        <v>12</v>
      </c>
      <c r="E390" s="98"/>
      <c r="F390" s="98"/>
      <c r="G390" s="98"/>
      <c r="H390" s="261"/>
      <c r="I390" s="189"/>
      <c r="J390" s="189"/>
      <c r="K390" s="487"/>
      <c r="L390" s="417"/>
      <c r="M390" s="230"/>
      <c r="N390" s="189"/>
      <c r="O390" s="45"/>
      <c r="P390" s="124"/>
      <c r="Q390" s="230"/>
      <c r="R390" s="189"/>
      <c r="S390" s="190"/>
      <c r="T390" s="124"/>
      <c r="U390" s="230"/>
      <c r="V390" s="189"/>
      <c r="W390" s="190"/>
      <c r="X390" s="229"/>
      <c r="Y390" s="230"/>
      <c r="Z390" s="189"/>
      <c r="AA390" s="190"/>
      <c r="AB390" s="229"/>
      <c r="AC390" s="230"/>
      <c r="AD390" s="189"/>
      <c r="AE390" s="190"/>
    </row>
    <row r="391" spans="1:31" ht="11.25">
      <c r="A391" s="112" t="s">
        <v>555</v>
      </c>
      <c r="B391" s="98"/>
      <c r="C391" s="98"/>
      <c r="D391" s="98" t="s">
        <v>13</v>
      </c>
      <c r="E391" s="98"/>
      <c r="F391" s="98"/>
      <c r="G391" s="98"/>
      <c r="H391" s="261"/>
      <c r="I391" s="189"/>
      <c r="J391" s="189"/>
      <c r="K391" s="487"/>
      <c r="L391" s="417"/>
      <c r="M391" s="230"/>
      <c r="N391" s="189"/>
      <c r="O391" s="45"/>
      <c r="P391" s="124"/>
      <c r="Q391" s="230"/>
      <c r="R391" s="189"/>
      <c r="S391" s="190"/>
      <c r="T391" s="124"/>
      <c r="U391" s="230"/>
      <c r="V391" s="189"/>
      <c r="W391" s="190"/>
      <c r="X391" s="229"/>
      <c r="Y391" s="230"/>
      <c r="Z391" s="189"/>
      <c r="AA391" s="190"/>
      <c r="AB391" s="229"/>
      <c r="AC391" s="230"/>
      <c r="AD391" s="189"/>
      <c r="AE391" s="190"/>
    </row>
    <row r="392" spans="1:31" ht="11.25">
      <c r="A392" s="112" t="s">
        <v>556</v>
      </c>
      <c r="B392" s="98"/>
      <c r="C392" s="98"/>
      <c r="D392" s="98" t="s">
        <v>14</v>
      </c>
      <c r="E392" s="98"/>
      <c r="F392" s="98"/>
      <c r="G392" s="98"/>
      <c r="H392" s="261">
        <f>4221+1262</f>
        <v>5483</v>
      </c>
      <c r="I392" s="189">
        <f>5302+1709</f>
        <v>7011</v>
      </c>
      <c r="J392" s="189">
        <v>0</v>
      </c>
      <c r="K392" s="480">
        <f>H392+I392+J392</f>
        <v>12494</v>
      </c>
      <c r="L392" s="417" t="s">
        <v>213</v>
      </c>
      <c r="M392" s="230">
        <v>5200</v>
      </c>
      <c r="N392" s="242">
        <f>O392/M392</f>
        <v>2.4026923076923077</v>
      </c>
      <c r="O392" s="45">
        <f>K392</f>
        <v>12494</v>
      </c>
      <c r="P392" s="124" t="s">
        <v>213</v>
      </c>
      <c r="Q392" s="230">
        <v>5200</v>
      </c>
      <c r="R392" s="242">
        <f>S392/Q392</f>
        <v>2.4026923076923077</v>
      </c>
      <c r="S392" s="190">
        <f>O392</f>
        <v>12494</v>
      </c>
      <c r="T392" s="124" t="s">
        <v>213</v>
      </c>
      <c r="U392" s="230">
        <f>Q392*2</f>
        <v>10400</v>
      </c>
      <c r="V392" s="242">
        <f>R392*2</f>
        <v>4.805384615384615</v>
      </c>
      <c r="W392" s="190">
        <f>U392*V392</f>
        <v>49976</v>
      </c>
      <c r="X392" s="229" t="s">
        <v>213</v>
      </c>
      <c r="Y392" s="230">
        <v>10400</v>
      </c>
      <c r="Z392" s="242">
        <v>4.805384615384615</v>
      </c>
      <c r="AA392" s="190">
        <v>49976</v>
      </c>
      <c r="AB392" s="229" t="s">
        <v>213</v>
      </c>
      <c r="AC392" s="230">
        <v>10400</v>
      </c>
      <c r="AD392" s="242">
        <v>4.805384615384615</v>
      </c>
      <c r="AE392" s="190">
        <v>49976</v>
      </c>
    </row>
    <row r="393" spans="1:31" ht="11.25">
      <c r="A393" s="112"/>
      <c r="B393" s="98"/>
      <c r="C393" s="98" t="s">
        <v>15</v>
      </c>
      <c r="D393" s="98"/>
      <c r="E393" s="98"/>
      <c r="F393" s="98"/>
      <c r="G393" s="98"/>
      <c r="H393" s="261"/>
      <c r="I393" s="189"/>
      <c r="J393" s="189"/>
      <c r="K393" s="487"/>
      <c r="L393" s="417"/>
      <c r="M393" s="230"/>
      <c r="N393" s="189"/>
      <c r="O393" s="45"/>
      <c r="P393" s="124"/>
      <c r="Q393" s="230"/>
      <c r="R393" s="192"/>
      <c r="S393" s="36"/>
      <c r="T393" s="124"/>
      <c r="U393" s="230"/>
      <c r="V393" s="192"/>
      <c r="W393" s="36"/>
      <c r="X393" s="229"/>
      <c r="Y393" s="230"/>
      <c r="Z393" s="192"/>
      <c r="AA393" s="36"/>
      <c r="AB393" s="229"/>
      <c r="AC393" s="230"/>
      <c r="AD393" s="192"/>
      <c r="AE393" s="36"/>
    </row>
    <row r="394" spans="1:31" ht="11.25">
      <c r="A394" s="112" t="s">
        <v>557</v>
      </c>
      <c r="B394" s="98"/>
      <c r="C394" s="98"/>
      <c r="D394" s="98" t="s">
        <v>11</v>
      </c>
      <c r="E394" s="98"/>
      <c r="F394" s="98"/>
      <c r="G394" s="98"/>
      <c r="H394" s="261"/>
      <c r="I394" s="189"/>
      <c r="J394" s="189"/>
      <c r="K394" s="487"/>
      <c r="L394" s="417"/>
      <c r="M394" s="230"/>
      <c r="N394" s="189"/>
      <c r="O394" s="45"/>
      <c r="P394" s="124"/>
      <c r="Q394" s="230"/>
      <c r="R394" s="192"/>
      <c r="S394" s="36"/>
      <c r="T394" s="124"/>
      <c r="U394" s="230"/>
      <c r="V394" s="192"/>
      <c r="W394" s="36"/>
      <c r="X394" s="229"/>
      <c r="Y394" s="230"/>
      <c r="Z394" s="192"/>
      <c r="AA394" s="36"/>
      <c r="AB394" s="229"/>
      <c r="AC394" s="230"/>
      <c r="AD394" s="192"/>
      <c r="AE394" s="36"/>
    </row>
    <row r="395" spans="1:31" ht="11.25">
      <c r="A395" s="112" t="s">
        <v>558</v>
      </c>
      <c r="B395" s="98"/>
      <c r="C395" s="98"/>
      <c r="D395" s="98" t="s">
        <v>12</v>
      </c>
      <c r="E395" s="98"/>
      <c r="F395" s="98"/>
      <c r="G395" s="98"/>
      <c r="H395" s="261"/>
      <c r="I395" s="189"/>
      <c r="J395" s="189"/>
      <c r="K395" s="487"/>
      <c r="L395" s="417"/>
      <c r="M395" s="230"/>
      <c r="N395" s="189"/>
      <c r="O395" s="45"/>
      <c r="P395" s="124"/>
      <c r="Q395" s="230"/>
      <c r="R395" s="100"/>
      <c r="S395" s="36"/>
      <c r="T395" s="124"/>
      <c r="U395" s="230"/>
      <c r="V395" s="100"/>
      <c r="W395" s="36"/>
      <c r="X395" s="229"/>
      <c r="Y395" s="230"/>
      <c r="Z395" s="100"/>
      <c r="AA395" s="36"/>
      <c r="AB395" s="229"/>
      <c r="AC395" s="230"/>
      <c r="AD395" s="100"/>
      <c r="AE395" s="36"/>
    </row>
    <row r="396" spans="1:31" ht="11.25">
      <c r="A396" s="112" t="s">
        <v>559</v>
      </c>
      <c r="B396" s="98"/>
      <c r="C396" s="98"/>
      <c r="D396" s="98" t="s">
        <v>13</v>
      </c>
      <c r="E396" s="98"/>
      <c r="F396" s="98"/>
      <c r="G396" s="98"/>
      <c r="H396" s="261"/>
      <c r="I396" s="189"/>
      <c r="J396" s="189"/>
      <c r="K396" s="487"/>
      <c r="L396" s="417"/>
      <c r="M396" s="230"/>
      <c r="N396" s="189"/>
      <c r="O396" s="45"/>
      <c r="P396" s="124"/>
      <c r="Q396" s="230"/>
      <c r="R396" s="192"/>
      <c r="S396" s="36"/>
      <c r="T396" s="124"/>
      <c r="U396" s="230"/>
      <c r="V396" s="192"/>
      <c r="W396" s="36"/>
      <c r="X396" s="229"/>
      <c r="Y396" s="230"/>
      <c r="Z396" s="192"/>
      <c r="AA396" s="36"/>
      <c r="AB396" s="229"/>
      <c r="AC396" s="230"/>
      <c r="AD396" s="192"/>
      <c r="AE396" s="36"/>
    </row>
    <row r="397" spans="1:31" ht="11.25">
      <c r="A397" s="112" t="s">
        <v>560</v>
      </c>
      <c r="B397" s="98"/>
      <c r="C397" s="98"/>
      <c r="D397" s="98" t="s">
        <v>14</v>
      </c>
      <c r="E397" s="98"/>
      <c r="F397" s="98"/>
      <c r="G397" s="98"/>
      <c r="H397" s="261"/>
      <c r="I397" s="189"/>
      <c r="J397" s="189"/>
      <c r="K397" s="487"/>
      <c r="L397" s="417"/>
      <c r="M397" s="230"/>
      <c r="N397" s="189"/>
      <c r="O397" s="45"/>
      <c r="P397" s="124"/>
      <c r="Q397" s="230"/>
      <c r="R397" s="192"/>
      <c r="S397" s="36"/>
      <c r="T397" s="124"/>
      <c r="U397" s="230"/>
      <c r="V397" s="192"/>
      <c r="W397" s="36"/>
      <c r="X397" s="229"/>
      <c r="Y397" s="230"/>
      <c r="Z397" s="192"/>
      <c r="AA397" s="36"/>
      <c r="AB397" s="229"/>
      <c r="AC397" s="230"/>
      <c r="AD397" s="192"/>
      <c r="AE397" s="36"/>
    </row>
    <row r="398" spans="1:31" ht="11.25">
      <c r="A398" s="112"/>
      <c r="B398" s="98"/>
      <c r="C398" s="98" t="s">
        <v>16</v>
      </c>
      <c r="D398" s="98"/>
      <c r="E398" s="98"/>
      <c r="F398" s="98"/>
      <c r="G398" s="98"/>
      <c r="H398" s="478">
        <f>SUM(H388:H397)</f>
        <v>19849</v>
      </c>
      <c r="I398" s="87">
        <f>SUM(I388:I397)</f>
        <v>24348</v>
      </c>
      <c r="J398" s="87">
        <f>SUM(J388:J397)</f>
        <v>0</v>
      </c>
      <c r="K398" s="480">
        <f>H398+I398+J398</f>
        <v>44197</v>
      </c>
      <c r="L398" s="417" t="s">
        <v>213</v>
      </c>
      <c r="M398" s="230">
        <f>M389</f>
        <v>31000</v>
      </c>
      <c r="N398" s="242">
        <f>O398/M398</f>
        <v>1.425709677419355</v>
      </c>
      <c r="O398" s="32">
        <f>SUM(O388:O397)</f>
        <v>44197</v>
      </c>
      <c r="P398" s="124" t="s">
        <v>213</v>
      </c>
      <c r="Q398" s="230">
        <f>Q389</f>
        <v>31000</v>
      </c>
      <c r="R398" s="107">
        <f>S398/Q398</f>
        <v>1.425709677419355</v>
      </c>
      <c r="S398" s="190">
        <f>SUM(S388:S397)</f>
        <v>44197</v>
      </c>
      <c r="T398" s="124" t="s">
        <v>213</v>
      </c>
      <c r="U398" s="230">
        <f>U389</f>
        <v>31000</v>
      </c>
      <c r="V398" s="107">
        <f>W398/U398</f>
        <v>2.6348064516129033</v>
      </c>
      <c r="W398" s="190">
        <f>SUM(W388:W397)</f>
        <v>81679</v>
      </c>
      <c r="X398" s="229" t="s">
        <v>213</v>
      </c>
      <c r="Y398" s="230">
        <f>Y389</f>
        <v>31000</v>
      </c>
      <c r="Z398" s="242">
        <f>AA398/Y398</f>
        <v>2.6348064516129033</v>
      </c>
      <c r="AA398" s="190">
        <f>SUM(AA388:AA397)</f>
        <v>81679</v>
      </c>
      <c r="AB398" s="229" t="s">
        <v>213</v>
      </c>
      <c r="AC398" s="230">
        <f>AC389</f>
        <v>31000</v>
      </c>
      <c r="AD398" s="242">
        <f>AE398/AC398</f>
        <v>2.6348064516129033</v>
      </c>
      <c r="AE398" s="190">
        <f>SUM(AE388:AE397)</f>
        <v>81679</v>
      </c>
    </row>
    <row r="399" spans="1:31" ht="11.25">
      <c r="A399" s="112"/>
      <c r="B399" s="98"/>
      <c r="C399" s="98" t="s">
        <v>10</v>
      </c>
      <c r="D399" s="98"/>
      <c r="E399" s="98"/>
      <c r="F399" s="98"/>
      <c r="G399" s="98"/>
      <c r="H399" s="261"/>
      <c r="I399" s="189"/>
      <c r="J399" s="189"/>
      <c r="K399" s="487"/>
      <c r="L399" s="417"/>
      <c r="M399" s="230"/>
      <c r="N399" s="189"/>
      <c r="O399" s="45"/>
      <c r="P399" s="124"/>
      <c r="Q399" s="230"/>
      <c r="R399" s="192"/>
      <c r="S399" s="36"/>
      <c r="T399" s="124"/>
      <c r="U399" s="230"/>
      <c r="V399" s="192"/>
      <c r="W399" s="36"/>
      <c r="X399" s="229"/>
      <c r="Y399" s="230"/>
      <c r="Z399" s="192"/>
      <c r="AA399" s="36"/>
      <c r="AB399" s="229"/>
      <c r="AC399" s="230"/>
      <c r="AD399" s="192"/>
      <c r="AE399" s="36"/>
    </row>
    <row r="400" spans="1:31" ht="11.25">
      <c r="A400" s="112" t="s">
        <v>561</v>
      </c>
      <c r="B400" s="98"/>
      <c r="C400" s="98"/>
      <c r="D400" s="98" t="s">
        <v>17</v>
      </c>
      <c r="E400" s="98"/>
      <c r="F400" s="98"/>
      <c r="G400" s="98"/>
      <c r="H400" s="261"/>
      <c r="I400" s="189"/>
      <c r="J400" s="189"/>
      <c r="K400" s="487"/>
      <c r="L400" s="417"/>
      <c r="M400" s="230"/>
      <c r="N400" s="189"/>
      <c r="O400" s="45"/>
      <c r="P400" s="124"/>
      <c r="Q400" s="230"/>
      <c r="R400" s="100"/>
      <c r="S400" s="36"/>
      <c r="T400" s="124"/>
      <c r="U400" s="230"/>
      <c r="V400" s="100"/>
      <c r="W400" s="36"/>
      <c r="X400" s="229"/>
      <c r="Y400" s="230"/>
      <c r="Z400" s="100"/>
      <c r="AA400" s="36"/>
      <c r="AB400" s="229"/>
      <c r="AC400" s="230"/>
      <c r="AD400" s="100"/>
      <c r="AE400" s="36"/>
    </row>
    <row r="401" spans="1:31" ht="11.25">
      <c r="A401" s="112" t="s">
        <v>562</v>
      </c>
      <c r="B401" s="98"/>
      <c r="C401" s="98"/>
      <c r="D401" s="98" t="s">
        <v>18</v>
      </c>
      <c r="E401" s="98"/>
      <c r="F401" s="98"/>
      <c r="G401" s="98"/>
      <c r="H401" s="261">
        <v>2002</v>
      </c>
      <c r="I401" s="189">
        <v>1601</v>
      </c>
      <c r="J401" s="189">
        <v>930</v>
      </c>
      <c r="K401" s="480">
        <f>H401+I401+J401</f>
        <v>4533</v>
      </c>
      <c r="L401" s="417" t="s">
        <v>214</v>
      </c>
      <c r="M401" s="230">
        <v>31000</v>
      </c>
      <c r="N401" s="242">
        <f>O401/M401</f>
        <v>0.1462258064516129</v>
      </c>
      <c r="O401" s="45">
        <f>K401</f>
        <v>4533</v>
      </c>
      <c r="P401" s="124" t="s">
        <v>214</v>
      </c>
      <c r="Q401" s="230">
        <v>31000</v>
      </c>
      <c r="R401" s="242">
        <f>S401/Q401</f>
        <v>0.1462258064516129</v>
      </c>
      <c r="S401" s="190">
        <f>O401</f>
        <v>4533</v>
      </c>
      <c r="T401" s="124" t="s">
        <v>214</v>
      </c>
      <c r="U401" s="230">
        <v>31000</v>
      </c>
      <c r="V401" s="242">
        <v>0.31</v>
      </c>
      <c r="W401" s="190">
        <f>U401*V401</f>
        <v>9610</v>
      </c>
      <c r="X401" s="229" t="s">
        <v>214</v>
      </c>
      <c r="Y401" s="230">
        <v>31000</v>
      </c>
      <c r="Z401" s="242">
        <v>0.31</v>
      </c>
      <c r="AA401" s="190">
        <v>9610</v>
      </c>
      <c r="AB401" s="229" t="s">
        <v>214</v>
      </c>
      <c r="AC401" s="230">
        <v>31000</v>
      </c>
      <c r="AD401" s="242">
        <v>0.31</v>
      </c>
      <c r="AE401" s="190">
        <v>9610</v>
      </c>
    </row>
    <row r="402" spans="1:31" ht="11.25">
      <c r="A402" s="112"/>
      <c r="B402" s="98"/>
      <c r="C402" s="98" t="s">
        <v>15</v>
      </c>
      <c r="D402" s="98"/>
      <c r="E402" s="98"/>
      <c r="F402" s="98"/>
      <c r="G402" s="98"/>
      <c r="H402" s="261"/>
      <c r="I402" s="189"/>
      <c r="J402" s="189"/>
      <c r="K402" s="487"/>
      <c r="L402" s="417"/>
      <c r="M402" s="230"/>
      <c r="N402" s="189"/>
      <c r="O402" s="45"/>
      <c r="P402" s="124"/>
      <c r="Q402" s="230"/>
      <c r="R402" s="100"/>
      <c r="S402" s="36"/>
      <c r="T402" s="124"/>
      <c r="U402" s="230"/>
      <c r="V402" s="100"/>
      <c r="W402" s="36"/>
      <c r="X402" s="229"/>
      <c r="Y402" s="230"/>
      <c r="Z402" s="100"/>
      <c r="AA402" s="36"/>
      <c r="AB402" s="229"/>
      <c r="AC402" s="230"/>
      <c r="AD402" s="100"/>
      <c r="AE402" s="36"/>
    </row>
    <row r="403" spans="1:31" ht="11.25">
      <c r="A403" s="112" t="s">
        <v>563</v>
      </c>
      <c r="B403" s="98"/>
      <c r="C403" s="98"/>
      <c r="D403" s="98" t="s">
        <v>17</v>
      </c>
      <c r="E403" s="98"/>
      <c r="F403" s="98"/>
      <c r="G403" s="98"/>
      <c r="H403" s="261"/>
      <c r="I403" s="189"/>
      <c r="J403" s="189"/>
      <c r="K403" s="487"/>
      <c r="L403" s="417"/>
      <c r="M403" s="230"/>
      <c r="N403" s="189"/>
      <c r="O403" s="45"/>
      <c r="P403" s="124"/>
      <c r="Q403" s="230"/>
      <c r="R403" s="100"/>
      <c r="S403" s="36"/>
      <c r="T403" s="124"/>
      <c r="U403" s="230"/>
      <c r="V403" s="100"/>
      <c r="W403" s="36"/>
      <c r="X403" s="229"/>
      <c r="Y403" s="230"/>
      <c r="Z403" s="100"/>
      <c r="AA403" s="36"/>
      <c r="AB403" s="229"/>
      <c r="AC403" s="230"/>
      <c r="AD403" s="100"/>
      <c r="AE403" s="36"/>
    </row>
    <row r="404" spans="1:31" ht="11.25">
      <c r="A404" s="112" t="s">
        <v>564</v>
      </c>
      <c r="B404" s="98"/>
      <c r="C404" s="98"/>
      <c r="D404" s="98" t="s">
        <v>19</v>
      </c>
      <c r="E404" s="98"/>
      <c r="F404" s="98"/>
      <c r="G404" s="98"/>
      <c r="H404" s="229"/>
      <c r="I404" s="189"/>
      <c r="J404" s="189"/>
      <c r="K404" s="487"/>
      <c r="L404" s="417"/>
      <c r="M404" s="230"/>
      <c r="N404" s="189"/>
      <c r="O404" s="45"/>
      <c r="P404" s="124"/>
      <c r="Q404" s="230"/>
      <c r="R404" s="100"/>
      <c r="S404" s="36"/>
      <c r="T404" s="124"/>
      <c r="U404" s="230"/>
      <c r="V404" s="100"/>
      <c r="W404" s="36"/>
      <c r="X404" s="229"/>
      <c r="Y404" s="230"/>
      <c r="Z404" s="100"/>
      <c r="AA404" s="36"/>
      <c r="AB404" s="229"/>
      <c r="AC404" s="230"/>
      <c r="AD404" s="100"/>
      <c r="AE404" s="36"/>
    </row>
    <row r="405" spans="1:31" ht="11.25">
      <c r="A405" s="112"/>
      <c r="B405" s="98"/>
      <c r="C405" s="98" t="s">
        <v>20</v>
      </c>
      <c r="D405" s="98"/>
      <c r="E405" s="98"/>
      <c r="F405" s="98"/>
      <c r="G405" s="98"/>
      <c r="H405" s="478">
        <f>SUM(H399:H404)</f>
        <v>2002</v>
      </c>
      <c r="I405" s="87">
        <f>SUM(I399:I404)</f>
        <v>1601</v>
      </c>
      <c r="J405" s="87">
        <f>SUM(J399:J404)</f>
        <v>930</v>
      </c>
      <c r="K405" s="480">
        <f>H405+I405+J405</f>
        <v>4533</v>
      </c>
      <c r="L405" s="417" t="s">
        <v>214</v>
      </c>
      <c r="M405" s="230">
        <v>31000</v>
      </c>
      <c r="N405" s="107">
        <f>O405/M405</f>
        <v>0.1462258064516129</v>
      </c>
      <c r="O405" s="32">
        <f>SUM(O399:O404)</f>
        <v>4533</v>
      </c>
      <c r="P405" s="124" t="s">
        <v>214</v>
      </c>
      <c r="Q405" s="230">
        <v>31000</v>
      </c>
      <c r="R405" s="107">
        <f>S405/Q405</f>
        <v>0.1462258064516129</v>
      </c>
      <c r="S405" s="190">
        <f>SUM(S399:S404)</f>
        <v>4533</v>
      </c>
      <c r="T405" s="124" t="s">
        <v>214</v>
      </c>
      <c r="U405" s="230">
        <v>31000</v>
      </c>
      <c r="V405" s="107">
        <f>W405/U405</f>
        <v>0.31</v>
      </c>
      <c r="W405" s="190">
        <f>SUM(W399:W404)</f>
        <v>9610</v>
      </c>
      <c r="X405" s="229" t="s">
        <v>214</v>
      </c>
      <c r="Y405" s="230">
        <v>31000</v>
      </c>
      <c r="Z405" s="242">
        <f>AA405/Y405</f>
        <v>0.31</v>
      </c>
      <c r="AA405" s="190">
        <f>SUM(AA399:AA404)</f>
        <v>9610</v>
      </c>
      <c r="AB405" s="229" t="s">
        <v>214</v>
      </c>
      <c r="AC405" s="230">
        <v>31000</v>
      </c>
      <c r="AD405" s="242">
        <f>AE405/AC405</f>
        <v>0.31</v>
      </c>
      <c r="AE405" s="190">
        <f>SUM(AE399:AE404)</f>
        <v>9610</v>
      </c>
    </row>
    <row r="406" spans="1:31" ht="11.25">
      <c r="A406" s="112"/>
      <c r="B406" s="98" t="s">
        <v>252</v>
      </c>
      <c r="C406" s="98"/>
      <c r="D406" s="98"/>
      <c r="E406" s="98"/>
      <c r="F406" s="98"/>
      <c r="G406" s="98"/>
      <c r="H406" s="478">
        <f>H386+H387+H398+H405</f>
        <v>86912</v>
      </c>
      <c r="I406" s="87">
        <f>I386+I387+I398+I405</f>
        <v>56122</v>
      </c>
      <c r="J406" s="87">
        <f>J386+J387+J398+J405</f>
        <v>930</v>
      </c>
      <c r="K406" s="480">
        <f>K386+K387+K398+K405</f>
        <v>143964</v>
      </c>
      <c r="L406" s="417" t="s">
        <v>213</v>
      </c>
      <c r="M406" s="230">
        <v>31000</v>
      </c>
      <c r="N406" s="107">
        <f>O406/M406</f>
        <v>4.644</v>
      </c>
      <c r="O406" s="32">
        <f>O386+O387+O398+O405</f>
        <v>143964</v>
      </c>
      <c r="P406" s="124" t="s">
        <v>213</v>
      </c>
      <c r="Q406" s="230">
        <v>31000</v>
      </c>
      <c r="R406" s="107">
        <f>S406/Q406</f>
        <v>4.644</v>
      </c>
      <c r="S406" s="190">
        <f>S386+S387+S398+S405</f>
        <v>143964</v>
      </c>
      <c r="T406" s="124" t="s">
        <v>213</v>
      </c>
      <c r="U406" s="230">
        <v>31000</v>
      </c>
      <c r="V406" s="107">
        <f>W406/U406</f>
        <v>6.016870967741935</v>
      </c>
      <c r="W406" s="190">
        <f>W386+W387+W398+W405</f>
        <v>186523</v>
      </c>
      <c r="X406" s="229" t="s">
        <v>213</v>
      </c>
      <c r="Y406" s="230">
        <v>31000</v>
      </c>
      <c r="Z406" s="242">
        <f>AA406/Y406</f>
        <v>6.016870967741935</v>
      </c>
      <c r="AA406" s="190">
        <f>AA386+AA387+AA398+AA405</f>
        <v>186523</v>
      </c>
      <c r="AB406" s="229" t="s">
        <v>213</v>
      </c>
      <c r="AC406" s="230">
        <v>31000</v>
      </c>
      <c r="AD406" s="242">
        <f>AE406/AC406</f>
        <v>6.016870967741935</v>
      </c>
      <c r="AE406" s="190">
        <f>AE386+AE387+AE398+AE405</f>
        <v>186523</v>
      </c>
    </row>
    <row r="407" spans="1:31" ht="11.25">
      <c r="A407" s="112"/>
      <c r="H407" s="478"/>
      <c r="I407" s="87"/>
      <c r="J407" s="87"/>
      <c r="K407" s="480"/>
      <c r="L407" s="159"/>
      <c r="M407" s="56"/>
      <c r="N407" s="87"/>
      <c r="O407" s="32"/>
      <c r="P407" s="89"/>
      <c r="Q407" s="56"/>
      <c r="R407" s="87"/>
      <c r="S407" s="88"/>
      <c r="T407" s="191"/>
      <c r="U407" s="230"/>
      <c r="V407" s="189"/>
      <c r="W407" s="190"/>
      <c r="X407" s="229"/>
      <c r="Y407" s="230"/>
      <c r="Z407" s="189"/>
      <c r="AA407" s="190"/>
      <c r="AB407" s="229"/>
      <c r="AC407" s="230"/>
      <c r="AD407" s="189"/>
      <c r="AE407" s="190"/>
    </row>
    <row r="408" spans="1:31" ht="11.25">
      <c r="A408" s="97" t="s">
        <v>540</v>
      </c>
      <c r="B408" s="98" t="s">
        <v>259</v>
      </c>
      <c r="C408" s="98"/>
      <c r="D408" s="98"/>
      <c r="E408" s="98"/>
      <c r="F408" s="98"/>
      <c r="G408" s="98"/>
      <c r="H408" s="261"/>
      <c r="I408" s="189"/>
      <c r="J408" s="189"/>
      <c r="K408" s="487"/>
      <c r="L408" s="417"/>
      <c r="M408" s="230"/>
      <c r="N408" s="87"/>
      <c r="O408" s="45"/>
      <c r="P408" s="124"/>
      <c r="Q408" s="113"/>
      <c r="R408" s="87"/>
      <c r="S408" s="36"/>
      <c r="T408" s="191"/>
      <c r="U408" s="113"/>
      <c r="V408" s="189"/>
      <c r="W408" s="36"/>
      <c r="X408" s="229"/>
      <c r="Y408" s="113"/>
      <c r="Z408" s="189"/>
      <c r="AA408" s="36"/>
      <c r="AB408" s="229"/>
      <c r="AC408" s="113"/>
      <c r="AD408" s="189"/>
      <c r="AE408" s="36"/>
    </row>
    <row r="409" spans="1:31" ht="11.25">
      <c r="A409" s="97"/>
      <c r="B409" s="98"/>
      <c r="C409" s="98" t="s">
        <v>31</v>
      </c>
      <c r="D409" s="98"/>
      <c r="E409" s="98"/>
      <c r="F409" s="98"/>
      <c r="G409" s="98"/>
      <c r="H409" s="261"/>
      <c r="I409" s="189"/>
      <c r="J409" s="189"/>
      <c r="K409" s="480"/>
      <c r="L409" s="417"/>
      <c r="M409" s="230"/>
      <c r="N409" s="87"/>
      <c r="O409" s="45"/>
      <c r="P409" s="124"/>
      <c r="Q409" s="113"/>
      <c r="R409" s="87"/>
      <c r="S409" s="190"/>
      <c r="T409" s="191"/>
      <c r="U409" s="113"/>
      <c r="V409" s="189"/>
      <c r="W409" s="190"/>
      <c r="X409" s="229"/>
      <c r="Y409" s="113"/>
      <c r="Z409" s="189"/>
      <c r="AA409" s="190"/>
      <c r="AB409" s="229"/>
      <c r="AC409" s="113"/>
      <c r="AD409" s="189"/>
      <c r="AE409" s="190"/>
    </row>
    <row r="410" spans="1:31" ht="11.25">
      <c r="A410" s="97" t="s">
        <v>541</v>
      </c>
      <c r="B410" s="98"/>
      <c r="C410" s="98"/>
      <c r="D410" s="98" t="s">
        <v>177</v>
      </c>
      <c r="E410" s="98"/>
      <c r="F410" s="98"/>
      <c r="G410" s="98"/>
      <c r="H410" s="261">
        <f>17382+579+812</f>
        <v>18773</v>
      </c>
      <c r="I410" s="189">
        <f>8142+271+1055</f>
        <v>9468</v>
      </c>
      <c r="J410" s="189">
        <v>0</v>
      </c>
      <c r="K410" s="480">
        <f>H410+I410+J410</f>
        <v>28241</v>
      </c>
      <c r="L410" s="417" t="s">
        <v>208</v>
      </c>
      <c r="M410" s="230">
        <v>3</v>
      </c>
      <c r="N410" s="189">
        <f>O410/M410</f>
        <v>9413.666666666666</v>
      </c>
      <c r="O410" s="45">
        <f>K410</f>
        <v>28241</v>
      </c>
      <c r="P410" s="124" t="s">
        <v>208</v>
      </c>
      <c r="Q410" s="230">
        <v>3</v>
      </c>
      <c r="R410" s="189">
        <f>S410/Q410</f>
        <v>9413.666666666666</v>
      </c>
      <c r="S410" s="190">
        <f>O410</f>
        <v>28241</v>
      </c>
      <c r="T410" s="191" t="s">
        <v>208</v>
      </c>
      <c r="U410" s="230">
        <v>3</v>
      </c>
      <c r="V410" s="189">
        <f>W410/U410</f>
        <v>9413.666666666666</v>
      </c>
      <c r="W410" s="190">
        <f>S410</f>
        <v>28241</v>
      </c>
      <c r="X410" s="229" t="s">
        <v>208</v>
      </c>
      <c r="Y410" s="230">
        <v>3</v>
      </c>
      <c r="Z410" s="189">
        <v>9413.666666666666</v>
      </c>
      <c r="AA410" s="190">
        <v>28241</v>
      </c>
      <c r="AB410" s="229" t="s">
        <v>208</v>
      </c>
      <c r="AC410" s="230">
        <v>3</v>
      </c>
      <c r="AD410" s="189">
        <v>9413.666666666666</v>
      </c>
      <c r="AE410" s="190">
        <v>28241</v>
      </c>
    </row>
    <row r="411" spans="1:31" ht="11.25">
      <c r="A411" s="97" t="s">
        <v>542</v>
      </c>
      <c r="B411" s="98"/>
      <c r="C411" s="98"/>
      <c r="D411" s="98" t="s">
        <v>178</v>
      </c>
      <c r="E411" s="98"/>
      <c r="F411" s="98"/>
      <c r="G411" s="98"/>
      <c r="H411" s="261">
        <v>5562</v>
      </c>
      <c r="I411" s="189">
        <v>2605</v>
      </c>
      <c r="J411" s="189">
        <v>0</v>
      </c>
      <c r="K411" s="480">
        <f>H411+I411+J411</f>
        <v>8167</v>
      </c>
      <c r="L411" s="417" t="s">
        <v>213</v>
      </c>
      <c r="M411" s="230">
        <v>80</v>
      </c>
      <c r="N411" s="189">
        <f>O411/M411</f>
        <v>102.0875</v>
      </c>
      <c r="O411" s="45">
        <f>K411</f>
        <v>8167</v>
      </c>
      <c r="P411" s="124" t="s">
        <v>213</v>
      </c>
      <c r="Q411" s="230">
        <v>80</v>
      </c>
      <c r="R411" s="189">
        <f>S411/Q411</f>
        <v>102.0875</v>
      </c>
      <c r="S411" s="190">
        <f>O411</f>
        <v>8167</v>
      </c>
      <c r="T411" s="191" t="s">
        <v>213</v>
      </c>
      <c r="U411" s="230">
        <v>80</v>
      </c>
      <c r="V411" s="189">
        <f>W411/U411</f>
        <v>102.0875</v>
      </c>
      <c r="W411" s="190">
        <f>S411</f>
        <v>8167</v>
      </c>
      <c r="X411" s="229" t="s">
        <v>213</v>
      </c>
      <c r="Y411" s="230">
        <v>80</v>
      </c>
      <c r="Z411" s="189">
        <v>102.0875</v>
      </c>
      <c r="AA411" s="190">
        <v>8167</v>
      </c>
      <c r="AB411" s="229" t="s">
        <v>213</v>
      </c>
      <c r="AC411" s="230">
        <v>80</v>
      </c>
      <c r="AD411" s="189">
        <v>102.0875</v>
      </c>
      <c r="AE411" s="190">
        <v>8167</v>
      </c>
    </row>
    <row r="412" spans="1:31" ht="11.25">
      <c r="A412" s="112"/>
      <c r="B412" s="98"/>
      <c r="C412" s="98" t="s">
        <v>10</v>
      </c>
      <c r="D412" s="98"/>
      <c r="E412" s="98"/>
      <c r="F412" s="98"/>
      <c r="G412" s="98"/>
      <c r="H412" s="261"/>
      <c r="I412" s="189"/>
      <c r="J412" s="189"/>
      <c r="K412" s="487"/>
      <c r="L412" s="417"/>
      <c r="M412" s="230"/>
      <c r="N412" s="189"/>
      <c r="O412" s="45"/>
      <c r="P412" s="124"/>
      <c r="Q412" s="230"/>
      <c r="R412" s="189"/>
      <c r="S412" s="190"/>
      <c r="T412" s="191"/>
      <c r="U412" s="230"/>
      <c r="V412" s="189"/>
      <c r="W412" s="190"/>
      <c r="X412" s="229"/>
      <c r="Y412" s="230"/>
      <c r="Z412" s="189"/>
      <c r="AA412" s="190"/>
      <c r="AB412" s="229"/>
      <c r="AC412" s="230"/>
      <c r="AD412" s="189"/>
      <c r="AE412" s="190"/>
    </row>
    <row r="413" spans="1:31" ht="11.25">
      <c r="A413" s="112" t="s">
        <v>543</v>
      </c>
      <c r="B413" s="98"/>
      <c r="C413" s="98"/>
      <c r="D413" s="98" t="s">
        <v>11</v>
      </c>
      <c r="E413" s="98"/>
      <c r="F413" s="98"/>
      <c r="G413" s="98"/>
      <c r="H413" s="261">
        <f>358+1022+1202+975+262+1828</f>
        <v>5647</v>
      </c>
      <c r="I413" s="189">
        <f>359+1961+2060+2736</f>
        <v>7116</v>
      </c>
      <c r="J413" s="189">
        <v>0</v>
      </c>
      <c r="K413" s="480">
        <f>H413+I413+J413</f>
        <v>12763</v>
      </c>
      <c r="L413" s="417" t="s">
        <v>213</v>
      </c>
      <c r="M413" s="230">
        <f>37+7280+4400</f>
        <v>11717</v>
      </c>
      <c r="N413" s="107">
        <f>O413/M413</f>
        <v>1.089271997951694</v>
      </c>
      <c r="O413" s="45">
        <f>K413</f>
        <v>12763</v>
      </c>
      <c r="P413" s="124" t="s">
        <v>213</v>
      </c>
      <c r="Q413" s="230">
        <f>37+7280+4400</f>
        <v>11717</v>
      </c>
      <c r="R413" s="107">
        <f>S413/Q413</f>
        <v>1.089271997951694</v>
      </c>
      <c r="S413" s="190">
        <f>O413</f>
        <v>12763</v>
      </c>
      <c r="T413" s="191" t="s">
        <v>213</v>
      </c>
      <c r="U413" s="230">
        <f>37+7280+4400</f>
        <v>11717</v>
      </c>
      <c r="V413" s="242">
        <f>W413/U413</f>
        <v>1.089271997951694</v>
      </c>
      <c r="W413" s="190">
        <f>S413</f>
        <v>12763</v>
      </c>
      <c r="X413" s="229" t="s">
        <v>213</v>
      </c>
      <c r="Y413" s="230">
        <v>11717</v>
      </c>
      <c r="Z413" s="242">
        <v>1.089271997951694</v>
      </c>
      <c r="AA413" s="190">
        <v>12763</v>
      </c>
      <c r="AB413" s="229" t="s">
        <v>213</v>
      </c>
      <c r="AC413" s="230">
        <v>11717</v>
      </c>
      <c r="AD413" s="242">
        <v>1.089271997951694</v>
      </c>
      <c r="AE413" s="190">
        <v>12763</v>
      </c>
    </row>
    <row r="414" spans="1:31" ht="11.25">
      <c r="A414" s="112" t="s">
        <v>544</v>
      </c>
      <c r="B414" s="98"/>
      <c r="C414" s="98"/>
      <c r="D414" s="98" t="s">
        <v>12</v>
      </c>
      <c r="E414" s="98"/>
      <c r="F414" s="98"/>
      <c r="G414" s="98"/>
      <c r="H414" s="261"/>
      <c r="I414" s="189"/>
      <c r="J414" s="189"/>
      <c r="K414" s="487"/>
      <c r="L414" s="417"/>
      <c r="M414" s="230"/>
      <c r="N414" s="189"/>
      <c r="O414" s="45"/>
      <c r="P414" s="124"/>
      <c r="Q414" s="230"/>
      <c r="R414" s="189"/>
      <c r="S414" s="190"/>
      <c r="T414" s="191"/>
      <c r="U414" s="230"/>
      <c r="V414" s="189"/>
      <c r="W414" s="190"/>
      <c r="X414" s="229"/>
      <c r="Y414" s="230"/>
      <c r="Z414" s="189"/>
      <c r="AA414" s="190"/>
      <c r="AB414" s="229"/>
      <c r="AC414" s="230"/>
      <c r="AD414" s="189"/>
      <c r="AE414" s="190"/>
    </row>
    <row r="415" spans="1:31" ht="11.25">
      <c r="A415" s="112" t="s">
        <v>545</v>
      </c>
      <c r="B415" s="98"/>
      <c r="C415" s="98"/>
      <c r="D415" s="98" t="s">
        <v>13</v>
      </c>
      <c r="E415" s="98"/>
      <c r="F415" s="98"/>
      <c r="G415" s="98"/>
      <c r="H415" s="261"/>
      <c r="I415" s="189"/>
      <c r="J415" s="189"/>
      <c r="K415" s="487"/>
      <c r="L415" s="417"/>
      <c r="M415" s="230"/>
      <c r="N415" s="87"/>
      <c r="O415" s="45"/>
      <c r="P415" s="124"/>
      <c r="Q415" s="230"/>
      <c r="R415" s="87"/>
      <c r="S415" s="190"/>
      <c r="T415" s="191"/>
      <c r="U415" s="230"/>
      <c r="V415" s="189"/>
      <c r="W415" s="190"/>
      <c r="X415" s="229"/>
      <c r="Y415" s="230"/>
      <c r="Z415" s="189"/>
      <c r="AA415" s="190"/>
      <c r="AB415" s="229"/>
      <c r="AC415" s="230"/>
      <c r="AD415" s="189"/>
      <c r="AE415" s="190"/>
    </row>
    <row r="416" spans="1:31" ht="11.25">
      <c r="A416" s="112" t="s">
        <v>546</v>
      </c>
      <c r="B416" s="98"/>
      <c r="C416" s="98"/>
      <c r="D416" s="98" t="s">
        <v>14</v>
      </c>
      <c r="E416" s="98"/>
      <c r="F416" s="98"/>
      <c r="G416" s="98"/>
      <c r="H416" s="261">
        <f>866+361</f>
        <v>1227</v>
      </c>
      <c r="I416" s="189">
        <f>1088+488</f>
        <v>1576</v>
      </c>
      <c r="J416" s="189">
        <v>0</v>
      </c>
      <c r="K416" s="480">
        <f>H416+I416+J416</f>
        <v>2803</v>
      </c>
      <c r="L416" s="417" t="s">
        <v>213</v>
      </c>
      <c r="M416" s="230">
        <v>1400</v>
      </c>
      <c r="N416" s="242">
        <f>O416/M416</f>
        <v>2.0021428571428572</v>
      </c>
      <c r="O416" s="45">
        <f>K416</f>
        <v>2803</v>
      </c>
      <c r="P416" s="124" t="s">
        <v>213</v>
      </c>
      <c r="Q416" s="230">
        <v>1400</v>
      </c>
      <c r="R416" s="242">
        <f>S416/Q416</f>
        <v>2.0021428571428572</v>
      </c>
      <c r="S416" s="190">
        <f>O416</f>
        <v>2803</v>
      </c>
      <c r="T416" s="191" t="s">
        <v>213</v>
      </c>
      <c r="U416" s="230">
        <f>Q416*2</f>
        <v>2800</v>
      </c>
      <c r="V416" s="242">
        <f>R416*2</f>
        <v>4.0042857142857144</v>
      </c>
      <c r="W416" s="190">
        <f>U416*V416</f>
        <v>11212</v>
      </c>
      <c r="X416" s="229" t="s">
        <v>213</v>
      </c>
      <c r="Y416" s="230">
        <v>2800</v>
      </c>
      <c r="Z416" s="242">
        <v>4.0042857142857144</v>
      </c>
      <c r="AA416" s="190">
        <v>11212</v>
      </c>
      <c r="AB416" s="229" t="s">
        <v>213</v>
      </c>
      <c r="AC416" s="230">
        <v>2800</v>
      </c>
      <c r="AD416" s="242">
        <v>4.0042857142857144</v>
      </c>
      <c r="AE416" s="190">
        <v>11212</v>
      </c>
    </row>
    <row r="417" spans="1:31" ht="11.25">
      <c r="A417" s="112"/>
      <c r="B417" s="98"/>
      <c r="C417" s="98" t="s">
        <v>15</v>
      </c>
      <c r="D417" s="98"/>
      <c r="E417" s="98"/>
      <c r="F417" s="98"/>
      <c r="G417" s="98"/>
      <c r="H417" s="261"/>
      <c r="I417" s="189"/>
      <c r="J417" s="189"/>
      <c r="K417" s="487"/>
      <c r="L417" s="417"/>
      <c r="M417" s="230"/>
      <c r="N417" s="189"/>
      <c r="O417" s="45"/>
      <c r="P417" s="124"/>
      <c r="Q417" s="230"/>
      <c r="R417" s="192"/>
      <c r="S417" s="36"/>
      <c r="T417" s="191"/>
      <c r="U417" s="230"/>
      <c r="V417" s="192"/>
      <c r="W417" s="36"/>
      <c r="X417" s="229"/>
      <c r="Y417" s="230"/>
      <c r="Z417" s="192"/>
      <c r="AA417" s="36"/>
      <c r="AB417" s="229"/>
      <c r="AC417" s="230"/>
      <c r="AD417" s="192"/>
      <c r="AE417" s="36"/>
    </row>
    <row r="418" spans="1:31" ht="11.25">
      <c r="A418" s="112" t="s">
        <v>547</v>
      </c>
      <c r="B418" s="98"/>
      <c r="C418" s="98"/>
      <c r="D418" s="98" t="s">
        <v>11</v>
      </c>
      <c r="E418" s="98"/>
      <c r="F418" s="98"/>
      <c r="G418" s="98"/>
      <c r="H418" s="261"/>
      <c r="I418" s="189"/>
      <c r="J418" s="189"/>
      <c r="K418" s="487"/>
      <c r="L418" s="417"/>
      <c r="M418" s="230"/>
      <c r="N418" s="189"/>
      <c r="O418" s="45"/>
      <c r="P418" s="124"/>
      <c r="Q418" s="230"/>
      <c r="R418" s="192"/>
      <c r="S418" s="36"/>
      <c r="T418" s="191"/>
      <c r="U418" s="230"/>
      <c r="V418" s="192"/>
      <c r="W418" s="36"/>
      <c r="X418" s="229"/>
      <c r="Y418" s="230"/>
      <c r="Z418" s="192"/>
      <c r="AA418" s="36"/>
      <c r="AB418" s="229"/>
      <c r="AC418" s="230"/>
      <c r="AD418" s="192"/>
      <c r="AE418" s="36"/>
    </row>
    <row r="419" spans="1:31" ht="11.25">
      <c r="A419" s="112" t="s">
        <v>548</v>
      </c>
      <c r="B419" s="98"/>
      <c r="C419" s="98"/>
      <c r="D419" s="98" t="s">
        <v>12</v>
      </c>
      <c r="E419" s="98"/>
      <c r="F419" s="98"/>
      <c r="G419" s="98"/>
      <c r="H419" s="261"/>
      <c r="I419" s="189"/>
      <c r="J419" s="189"/>
      <c r="K419" s="487"/>
      <c r="L419" s="417"/>
      <c r="M419" s="230"/>
      <c r="N419" s="189"/>
      <c r="O419" s="45"/>
      <c r="P419" s="124"/>
      <c r="Q419" s="230"/>
      <c r="R419" s="100"/>
      <c r="S419" s="36"/>
      <c r="T419" s="191"/>
      <c r="U419" s="230"/>
      <c r="V419" s="100"/>
      <c r="W419" s="36"/>
      <c r="X419" s="229"/>
      <c r="Y419" s="230"/>
      <c r="Z419" s="100"/>
      <c r="AA419" s="36"/>
      <c r="AB419" s="229"/>
      <c r="AC419" s="230"/>
      <c r="AD419" s="100"/>
      <c r="AE419" s="36"/>
    </row>
    <row r="420" spans="1:31" ht="11.25">
      <c r="A420" s="112" t="s">
        <v>549</v>
      </c>
      <c r="B420" s="98"/>
      <c r="C420" s="98"/>
      <c r="D420" s="98" t="s">
        <v>13</v>
      </c>
      <c r="E420" s="98"/>
      <c r="F420" s="98"/>
      <c r="G420" s="98"/>
      <c r="H420" s="261"/>
      <c r="I420" s="189"/>
      <c r="J420" s="189"/>
      <c r="K420" s="487"/>
      <c r="L420" s="417"/>
      <c r="M420" s="230"/>
      <c r="N420" s="189"/>
      <c r="O420" s="45"/>
      <c r="P420" s="124"/>
      <c r="Q420" s="230"/>
      <c r="R420" s="192"/>
      <c r="S420" s="36"/>
      <c r="T420" s="191"/>
      <c r="U420" s="230"/>
      <c r="V420" s="192"/>
      <c r="W420" s="36"/>
      <c r="X420" s="229"/>
      <c r="Y420" s="230"/>
      <c r="Z420" s="192"/>
      <c r="AA420" s="36"/>
      <c r="AB420" s="229"/>
      <c r="AC420" s="230"/>
      <c r="AD420" s="192"/>
      <c r="AE420" s="36"/>
    </row>
    <row r="421" spans="1:31" ht="11.25">
      <c r="A421" s="112" t="s">
        <v>550</v>
      </c>
      <c r="B421" s="98"/>
      <c r="C421" s="98"/>
      <c r="D421" s="98" t="s">
        <v>14</v>
      </c>
      <c r="E421" s="98"/>
      <c r="F421" s="98"/>
      <c r="G421" s="98"/>
      <c r="H421" s="261"/>
      <c r="I421" s="189"/>
      <c r="J421" s="189"/>
      <c r="K421" s="487"/>
      <c r="L421" s="417"/>
      <c r="M421" s="230"/>
      <c r="N421" s="189"/>
      <c r="O421" s="45"/>
      <c r="P421" s="124"/>
      <c r="Q421" s="230"/>
      <c r="R421" s="192"/>
      <c r="S421" s="36"/>
      <c r="T421" s="191"/>
      <c r="U421" s="230"/>
      <c r="V421" s="192"/>
      <c r="W421" s="36"/>
      <c r="X421" s="229"/>
      <c r="Y421" s="230"/>
      <c r="Z421" s="192"/>
      <c r="AA421" s="36"/>
      <c r="AB421" s="229"/>
      <c r="AC421" s="230"/>
      <c r="AD421" s="192"/>
      <c r="AE421" s="36"/>
    </row>
    <row r="422" spans="1:31" ht="11.25">
      <c r="A422" s="112"/>
      <c r="B422" s="98"/>
      <c r="C422" s="98" t="s">
        <v>16</v>
      </c>
      <c r="D422" s="98"/>
      <c r="E422" s="98"/>
      <c r="F422" s="98"/>
      <c r="G422" s="98"/>
      <c r="H422" s="478">
        <f>SUM(H412:H421)</f>
        <v>6874</v>
      </c>
      <c r="I422" s="87">
        <f>SUM(I412:I421)</f>
        <v>8692</v>
      </c>
      <c r="J422" s="87">
        <f>SUM(J412:J421)</f>
        <v>0</v>
      </c>
      <c r="K422" s="480">
        <f>H422+I422+J422</f>
        <v>15566</v>
      </c>
      <c r="L422" s="417" t="s">
        <v>213</v>
      </c>
      <c r="M422" s="230">
        <f>M413</f>
        <v>11717</v>
      </c>
      <c r="N422" s="107">
        <f>O422/M422</f>
        <v>1.328497055560297</v>
      </c>
      <c r="O422" s="45">
        <f>SUM(O412:O421)</f>
        <v>15566</v>
      </c>
      <c r="P422" s="124" t="s">
        <v>213</v>
      </c>
      <c r="Q422" s="230">
        <f>Q413</f>
        <v>11717</v>
      </c>
      <c r="R422" s="107">
        <f>S422/Q422</f>
        <v>1.328497055560297</v>
      </c>
      <c r="S422" s="190">
        <f>SUM(S412:S421)</f>
        <v>15566</v>
      </c>
      <c r="T422" s="191" t="s">
        <v>213</v>
      </c>
      <c r="U422" s="230">
        <f>U413</f>
        <v>11717</v>
      </c>
      <c r="V422" s="242">
        <f>W422/U422</f>
        <v>2.0461722283861055</v>
      </c>
      <c r="W422" s="190">
        <f>SUM(W412:W421)</f>
        <v>23975</v>
      </c>
      <c r="X422" s="229" t="s">
        <v>213</v>
      </c>
      <c r="Y422" s="230">
        <f>Y413</f>
        <v>11717</v>
      </c>
      <c r="Z422" s="242">
        <f>AA422/Y422</f>
        <v>2.0461722283861055</v>
      </c>
      <c r="AA422" s="190">
        <f>SUM(AA412:AA421)</f>
        <v>23975</v>
      </c>
      <c r="AB422" s="229" t="s">
        <v>213</v>
      </c>
      <c r="AC422" s="230">
        <f>AC413</f>
        <v>11717</v>
      </c>
      <c r="AD422" s="242">
        <f>AE422/AC422</f>
        <v>2.0461722283861055</v>
      </c>
      <c r="AE422" s="190">
        <f>SUM(AE412:AE421)</f>
        <v>23975</v>
      </c>
    </row>
    <row r="423" spans="1:31" ht="11.25">
      <c r="A423" s="112"/>
      <c r="B423" s="98"/>
      <c r="C423" s="98" t="s">
        <v>10</v>
      </c>
      <c r="D423" s="98"/>
      <c r="E423" s="98"/>
      <c r="F423" s="98"/>
      <c r="G423" s="98"/>
      <c r="H423" s="261"/>
      <c r="I423" s="189"/>
      <c r="J423" s="189"/>
      <c r="K423" s="487"/>
      <c r="L423" s="417"/>
      <c r="M423" s="230"/>
      <c r="N423" s="189"/>
      <c r="O423" s="45"/>
      <c r="P423" s="124"/>
      <c r="Q423" s="230"/>
      <c r="R423" s="192"/>
      <c r="S423" s="36"/>
      <c r="T423" s="191"/>
      <c r="U423" s="230"/>
      <c r="V423" s="192"/>
      <c r="W423" s="36"/>
      <c r="X423" s="229"/>
      <c r="Y423" s="230"/>
      <c r="Z423" s="192"/>
      <c r="AA423" s="36"/>
      <c r="AB423" s="229"/>
      <c r="AC423" s="230"/>
      <c r="AD423" s="192"/>
      <c r="AE423" s="36"/>
    </row>
    <row r="424" spans="1:31" ht="11.25">
      <c r="A424" s="112" t="s">
        <v>565</v>
      </c>
      <c r="B424" s="98"/>
      <c r="C424" s="98"/>
      <c r="D424" s="98" t="s">
        <v>17</v>
      </c>
      <c r="E424" s="98"/>
      <c r="F424" s="98"/>
      <c r="G424" s="98"/>
      <c r="H424" s="261"/>
      <c r="I424" s="189"/>
      <c r="J424" s="189"/>
      <c r="K424" s="487"/>
      <c r="L424" s="417"/>
      <c r="M424" s="230"/>
      <c r="N424" s="189"/>
      <c r="O424" s="45"/>
      <c r="P424" s="124"/>
      <c r="Q424" s="230"/>
      <c r="R424" s="100"/>
      <c r="S424" s="36"/>
      <c r="T424" s="191"/>
      <c r="U424" s="230"/>
      <c r="V424" s="100"/>
      <c r="W424" s="36"/>
      <c r="X424" s="229"/>
      <c r="Y424" s="230"/>
      <c r="Z424" s="100"/>
      <c r="AA424" s="36"/>
      <c r="AB424" s="229"/>
      <c r="AC424" s="230"/>
      <c r="AD424" s="100"/>
      <c r="AE424" s="36"/>
    </row>
    <row r="425" spans="1:31" ht="11.25">
      <c r="A425" s="112" t="s">
        <v>566</v>
      </c>
      <c r="B425" s="98"/>
      <c r="C425" s="98"/>
      <c r="D425" s="98" t="s">
        <v>18</v>
      </c>
      <c r="E425" s="98"/>
      <c r="F425" s="98"/>
      <c r="G425" s="98"/>
      <c r="H425" s="261">
        <v>541</v>
      </c>
      <c r="I425" s="189">
        <v>433</v>
      </c>
      <c r="J425" s="189">
        <v>252</v>
      </c>
      <c r="K425" s="480">
        <f>H425+I425+J425</f>
        <v>1226</v>
      </c>
      <c r="L425" s="417" t="s">
        <v>214</v>
      </c>
      <c r="M425" s="230">
        <v>1400</v>
      </c>
      <c r="N425" s="107">
        <f>O425/M425</f>
        <v>0.8757142857142857</v>
      </c>
      <c r="O425" s="45">
        <f>K425</f>
        <v>1226</v>
      </c>
      <c r="P425" s="124" t="s">
        <v>214</v>
      </c>
      <c r="Q425" s="230">
        <v>1400</v>
      </c>
      <c r="R425" s="107">
        <f>S425/Q425</f>
        <v>0.8757142857142857</v>
      </c>
      <c r="S425" s="190">
        <f>O425</f>
        <v>1226</v>
      </c>
      <c r="T425" s="191" t="s">
        <v>214</v>
      </c>
      <c r="U425" s="230">
        <v>1400</v>
      </c>
      <c r="V425" s="242">
        <v>0.31</v>
      </c>
      <c r="W425" s="190">
        <f>U425*V425</f>
        <v>434</v>
      </c>
      <c r="X425" s="229" t="s">
        <v>214</v>
      </c>
      <c r="Y425" s="230">
        <v>1400</v>
      </c>
      <c r="Z425" s="242">
        <v>0.31</v>
      </c>
      <c r="AA425" s="190">
        <v>434</v>
      </c>
      <c r="AB425" s="229" t="s">
        <v>214</v>
      </c>
      <c r="AC425" s="230">
        <v>1400</v>
      </c>
      <c r="AD425" s="242">
        <v>0.31</v>
      </c>
      <c r="AE425" s="190">
        <v>434</v>
      </c>
    </row>
    <row r="426" spans="1:31" ht="11.25">
      <c r="A426" s="112"/>
      <c r="B426" s="98"/>
      <c r="C426" s="98" t="s">
        <v>15</v>
      </c>
      <c r="D426" s="98"/>
      <c r="E426" s="98"/>
      <c r="F426" s="98"/>
      <c r="G426" s="98"/>
      <c r="H426" s="261"/>
      <c r="I426" s="189"/>
      <c r="J426" s="189"/>
      <c r="K426" s="487"/>
      <c r="L426" s="417"/>
      <c r="M426" s="230"/>
      <c r="N426" s="189"/>
      <c r="O426" s="45"/>
      <c r="P426" s="124"/>
      <c r="Q426" s="230"/>
      <c r="R426" s="189"/>
      <c r="S426" s="190"/>
      <c r="T426" s="191"/>
      <c r="U426" s="230"/>
      <c r="V426" s="189"/>
      <c r="W426" s="190"/>
      <c r="X426" s="229"/>
      <c r="Y426" s="230"/>
      <c r="Z426" s="189"/>
      <c r="AA426" s="190"/>
      <c r="AB426" s="229"/>
      <c r="AC426" s="230"/>
      <c r="AD426" s="189"/>
      <c r="AE426" s="190"/>
    </row>
    <row r="427" spans="1:31" ht="11.25">
      <c r="A427" s="112" t="s">
        <v>567</v>
      </c>
      <c r="B427" s="98"/>
      <c r="C427" s="98"/>
      <c r="D427" s="98" t="s">
        <v>17</v>
      </c>
      <c r="E427" s="98"/>
      <c r="F427" s="98"/>
      <c r="G427" s="98"/>
      <c r="H427" s="261"/>
      <c r="I427" s="189"/>
      <c r="J427" s="189"/>
      <c r="K427" s="487"/>
      <c r="L427" s="417"/>
      <c r="M427" s="230"/>
      <c r="N427" s="189"/>
      <c r="O427" s="45"/>
      <c r="P427" s="124"/>
      <c r="Q427" s="230"/>
      <c r="R427" s="100"/>
      <c r="S427" s="36"/>
      <c r="T427" s="191"/>
      <c r="U427" s="230"/>
      <c r="V427" s="100"/>
      <c r="W427" s="36"/>
      <c r="X427" s="229"/>
      <c r="Y427" s="230"/>
      <c r="Z427" s="100"/>
      <c r="AA427" s="36"/>
      <c r="AB427" s="229"/>
      <c r="AC427" s="230"/>
      <c r="AD427" s="100"/>
      <c r="AE427" s="36"/>
    </row>
    <row r="428" spans="1:31" ht="11.25">
      <c r="A428" s="112" t="s">
        <v>568</v>
      </c>
      <c r="B428" s="98"/>
      <c r="C428" s="98"/>
      <c r="D428" s="98" t="s">
        <v>19</v>
      </c>
      <c r="E428" s="98"/>
      <c r="F428" s="98"/>
      <c r="G428" s="98"/>
      <c r="H428" s="229"/>
      <c r="I428" s="189"/>
      <c r="J428" s="189"/>
      <c r="K428" s="487"/>
      <c r="L428" s="417"/>
      <c r="M428" s="230"/>
      <c r="N428" s="189"/>
      <c r="O428" s="45"/>
      <c r="P428" s="124"/>
      <c r="Q428" s="230"/>
      <c r="R428" s="100"/>
      <c r="S428" s="36"/>
      <c r="T428" s="191"/>
      <c r="U428" s="230"/>
      <c r="V428" s="100"/>
      <c r="W428" s="36"/>
      <c r="X428" s="229"/>
      <c r="Y428" s="230"/>
      <c r="Z428" s="100"/>
      <c r="AA428" s="36"/>
      <c r="AB428" s="229"/>
      <c r="AC428" s="230"/>
      <c r="AD428" s="100"/>
      <c r="AE428" s="36"/>
    </row>
    <row r="429" spans="1:31" ht="11.25">
      <c r="A429" s="112"/>
      <c r="B429" s="98"/>
      <c r="C429" s="98" t="s">
        <v>20</v>
      </c>
      <c r="D429" s="98"/>
      <c r="E429" s="98"/>
      <c r="F429" s="98"/>
      <c r="G429" s="98"/>
      <c r="H429" s="478">
        <f>SUM(H423:H428)</f>
        <v>541</v>
      </c>
      <c r="I429" s="87">
        <f>SUM(I423:I428)</f>
        <v>433</v>
      </c>
      <c r="J429" s="87">
        <f>SUM(J423:J428)</f>
        <v>252</v>
      </c>
      <c r="K429" s="480">
        <f>H429+I429+J429</f>
        <v>1226</v>
      </c>
      <c r="L429" s="417" t="s">
        <v>214</v>
      </c>
      <c r="M429" s="230">
        <v>1400</v>
      </c>
      <c r="N429" s="107">
        <f>O429/M429</f>
        <v>0.8757142857142857</v>
      </c>
      <c r="O429" s="45">
        <f>SUM(O423:O428)</f>
        <v>1226</v>
      </c>
      <c r="P429" s="124" t="s">
        <v>214</v>
      </c>
      <c r="Q429" s="230">
        <v>1400</v>
      </c>
      <c r="R429" s="107">
        <f>S429/Q429</f>
        <v>0.8757142857142857</v>
      </c>
      <c r="S429" s="190">
        <f>SUM(S423:S428)</f>
        <v>1226</v>
      </c>
      <c r="T429" s="191" t="s">
        <v>214</v>
      </c>
      <c r="U429" s="230">
        <v>1400</v>
      </c>
      <c r="V429" s="242">
        <f>W429/U429</f>
        <v>0.31</v>
      </c>
      <c r="W429" s="190">
        <f>SUM(W423:W428)</f>
        <v>434</v>
      </c>
      <c r="X429" s="229" t="s">
        <v>214</v>
      </c>
      <c r="Y429" s="230">
        <v>1400</v>
      </c>
      <c r="Z429" s="242">
        <f>AA429/Y429</f>
        <v>0.31</v>
      </c>
      <c r="AA429" s="190">
        <f>SUM(AA423:AA428)</f>
        <v>434</v>
      </c>
      <c r="AB429" s="229" t="s">
        <v>214</v>
      </c>
      <c r="AC429" s="230">
        <v>1400</v>
      </c>
      <c r="AD429" s="242">
        <f>AE429/AC429</f>
        <v>0.31</v>
      </c>
      <c r="AE429" s="190">
        <f>SUM(AE423:AE428)</f>
        <v>434</v>
      </c>
    </row>
    <row r="430" spans="1:31" ht="11.25">
      <c r="A430" s="112"/>
      <c r="B430" s="98" t="s">
        <v>260</v>
      </c>
      <c r="C430" s="98"/>
      <c r="D430" s="98"/>
      <c r="E430" s="98"/>
      <c r="F430" s="98"/>
      <c r="G430" s="98"/>
      <c r="H430" s="478">
        <f>H410+H411+H422+H429</f>
        <v>31750</v>
      </c>
      <c r="I430" s="87">
        <f>I410+I411+I422+I429</f>
        <v>21198</v>
      </c>
      <c r="J430" s="87">
        <f>J410+J411+J422+J429</f>
        <v>252</v>
      </c>
      <c r="K430" s="480">
        <f>K410+K411+K422+K429</f>
        <v>53200</v>
      </c>
      <c r="L430" s="417" t="s">
        <v>213</v>
      </c>
      <c r="M430" s="230">
        <v>11717</v>
      </c>
      <c r="N430" s="107">
        <f>O430/M430</f>
        <v>4.540411368097636</v>
      </c>
      <c r="O430" s="45">
        <f>O410+O411+O422+O429</f>
        <v>53200</v>
      </c>
      <c r="P430" s="124" t="s">
        <v>213</v>
      </c>
      <c r="Q430" s="230">
        <v>11717</v>
      </c>
      <c r="R430" s="107">
        <f>S430/Q430</f>
        <v>4.540411368097636</v>
      </c>
      <c r="S430" s="190">
        <f>S410+S411+S422+S429</f>
        <v>53200</v>
      </c>
      <c r="T430" s="191" t="s">
        <v>213</v>
      </c>
      <c r="U430" s="230">
        <v>11717</v>
      </c>
      <c r="V430" s="242">
        <f>W430/U430</f>
        <v>5.190492446872066</v>
      </c>
      <c r="W430" s="190">
        <f>W410+W411+W422+W429</f>
        <v>60817</v>
      </c>
      <c r="X430" s="229" t="s">
        <v>213</v>
      </c>
      <c r="Y430" s="230">
        <v>11717</v>
      </c>
      <c r="Z430" s="242">
        <f>AA430/Y430</f>
        <v>5.190492446872066</v>
      </c>
      <c r="AA430" s="190">
        <f>AA410+AA411+AA422+AA429</f>
        <v>60817</v>
      </c>
      <c r="AB430" s="229" t="s">
        <v>213</v>
      </c>
      <c r="AC430" s="230">
        <v>11717</v>
      </c>
      <c r="AD430" s="242">
        <f>AE430/AC430</f>
        <v>5.190492446872066</v>
      </c>
      <c r="AE430" s="190">
        <f>AE410+AE411+AE422+AE429</f>
        <v>60817</v>
      </c>
    </row>
    <row r="431" spans="1:31" ht="11.25">
      <c r="A431" s="112"/>
      <c r="H431" s="478"/>
      <c r="I431" s="87"/>
      <c r="J431" s="87"/>
      <c r="K431" s="480"/>
      <c r="L431" s="159"/>
      <c r="M431" s="56"/>
      <c r="N431" s="87"/>
      <c r="O431" s="32"/>
      <c r="P431" s="89"/>
      <c r="Q431" s="56"/>
      <c r="R431" s="87"/>
      <c r="S431" s="88"/>
      <c r="T431" s="191"/>
      <c r="U431" s="230"/>
      <c r="V431" s="189"/>
      <c r="W431" s="190"/>
      <c r="X431" s="229"/>
      <c r="Y431" s="230"/>
      <c r="Z431" s="189"/>
      <c r="AA431" s="190"/>
      <c r="AB431" s="229"/>
      <c r="AC431" s="230"/>
      <c r="AD431" s="189"/>
      <c r="AE431" s="190"/>
    </row>
    <row r="432" spans="1:31" ht="11.25">
      <c r="A432" s="97" t="s">
        <v>569</v>
      </c>
      <c r="B432" s="98" t="s">
        <v>286</v>
      </c>
      <c r="C432" s="98"/>
      <c r="D432" s="98"/>
      <c r="E432" s="98"/>
      <c r="F432" s="98"/>
      <c r="G432" s="98"/>
      <c r="H432" s="261"/>
      <c r="I432" s="189"/>
      <c r="J432" s="189"/>
      <c r="K432" s="487"/>
      <c r="L432" s="417"/>
      <c r="M432" s="230"/>
      <c r="N432" s="87"/>
      <c r="O432" s="45"/>
      <c r="P432" s="124"/>
      <c r="Q432" s="113"/>
      <c r="R432" s="87"/>
      <c r="S432" s="36"/>
      <c r="T432" s="191"/>
      <c r="U432" s="113"/>
      <c r="V432" s="189"/>
      <c r="W432" s="36"/>
      <c r="X432" s="229"/>
      <c r="Y432" s="113"/>
      <c r="Z432" s="189"/>
      <c r="AA432" s="36"/>
      <c r="AB432" s="229"/>
      <c r="AC432" s="113"/>
      <c r="AD432" s="189"/>
      <c r="AE432" s="36"/>
    </row>
    <row r="433" spans="1:31" ht="11.25">
      <c r="A433" s="97"/>
      <c r="B433" s="98"/>
      <c r="C433" s="98" t="s">
        <v>31</v>
      </c>
      <c r="D433" s="98"/>
      <c r="E433" s="98"/>
      <c r="F433" s="98"/>
      <c r="G433" s="98"/>
      <c r="H433" s="261">
        <f>4059</f>
        <v>4059</v>
      </c>
      <c r="I433" s="189">
        <v>5275</v>
      </c>
      <c r="J433" s="189">
        <v>0</v>
      </c>
      <c r="K433" s="480">
        <f>H433+I433+J433</f>
        <v>9334</v>
      </c>
      <c r="L433" s="417" t="s">
        <v>208</v>
      </c>
      <c r="M433" s="230">
        <v>1</v>
      </c>
      <c r="N433" s="189">
        <f>O433/M433</f>
        <v>9334</v>
      </c>
      <c r="O433" s="45">
        <f>K433</f>
        <v>9334</v>
      </c>
      <c r="P433" s="124" t="s">
        <v>208</v>
      </c>
      <c r="Q433" s="230">
        <v>1</v>
      </c>
      <c r="R433" s="189">
        <f>S433/Q433</f>
        <v>9334</v>
      </c>
      <c r="S433" s="190">
        <f>O433</f>
        <v>9334</v>
      </c>
      <c r="T433" s="124" t="s">
        <v>208</v>
      </c>
      <c r="U433" s="230">
        <v>1</v>
      </c>
      <c r="V433" s="189">
        <f>W433/U433</f>
        <v>9334</v>
      </c>
      <c r="W433" s="190">
        <f>S433</f>
        <v>9334</v>
      </c>
      <c r="X433" s="229" t="s">
        <v>208</v>
      </c>
      <c r="Y433" s="230">
        <v>1</v>
      </c>
      <c r="Z433" s="189">
        <v>9334</v>
      </c>
      <c r="AA433" s="190">
        <v>9334</v>
      </c>
      <c r="AB433" s="229" t="s">
        <v>208</v>
      </c>
      <c r="AC433" s="230">
        <v>1</v>
      </c>
      <c r="AD433" s="189">
        <v>9334</v>
      </c>
      <c r="AE433" s="190">
        <v>9334</v>
      </c>
    </row>
    <row r="434" spans="1:31" ht="11.25">
      <c r="A434" s="97" t="s">
        <v>570</v>
      </c>
      <c r="B434" s="98"/>
      <c r="C434" s="98"/>
      <c r="D434" s="98" t="s">
        <v>177</v>
      </c>
      <c r="E434" s="98"/>
      <c r="F434" s="98"/>
      <c r="G434" s="98"/>
      <c r="H434" s="261"/>
      <c r="I434" s="189"/>
      <c r="J434" s="189"/>
      <c r="K434" s="480"/>
      <c r="L434" s="417"/>
      <c r="M434" s="230"/>
      <c r="N434" s="189"/>
      <c r="O434" s="45"/>
      <c r="P434" s="124"/>
      <c r="Q434" s="230"/>
      <c r="R434" s="189"/>
      <c r="S434" s="190"/>
      <c r="T434" s="124"/>
      <c r="U434" s="230"/>
      <c r="V434" s="189"/>
      <c r="W434" s="190"/>
      <c r="X434" s="229"/>
      <c r="Y434" s="230"/>
      <c r="Z434" s="189"/>
      <c r="AA434" s="190"/>
      <c r="AB434" s="229"/>
      <c r="AC434" s="230"/>
      <c r="AD434" s="189"/>
      <c r="AE434" s="190"/>
    </row>
    <row r="435" spans="1:31" ht="11.25">
      <c r="A435" s="97" t="s">
        <v>571</v>
      </c>
      <c r="B435" s="98"/>
      <c r="C435" s="98"/>
      <c r="D435" s="98" t="s">
        <v>178</v>
      </c>
      <c r="E435" s="98"/>
      <c r="F435" s="98"/>
      <c r="G435" s="98"/>
      <c r="H435" s="261"/>
      <c r="I435" s="189"/>
      <c r="J435" s="189"/>
      <c r="K435" s="480"/>
      <c r="L435" s="417"/>
      <c r="M435" s="230"/>
      <c r="N435" s="189"/>
      <c r="O435" s="45"/>
      <c r="P435" s="124"/>
      <c r="Q435" s="230"/>
      <c r="R435" s="189"/>
      <c r="S435" s="190"/>
      <c r="T435" s="124"/>
      <c r="U435" s="230"/>
      <c r="V435" s="189"/>
      <c r="W435" s="190"/>
      <c r="X435" s="229"/>
      <c r="Y435" s="230"/>
      <c r="Z435" s="189"/>
      <c r="AA435" s="190"/>
      <c r="AB435" s="229"/>
      <c r="AC435" s="230"/>
      <c r="AD435" s="189"/>
      <c r="AE435" s="190"/>
    </row>
    <row r="436" spans="1:31" ht="11.25">
      <c r="A436" s="112"/>
      <c r="B436" s="98"/>
      <c r="C436" s="98" t="s">
        <v>10</v>
      </c>
      <c r="D436" s="98"/>
      <c r="E436" s="98"/>
      <c r="F436" s="98"/>
      <c r="G436" s="98"/>
      <c r="H436" s="261"/>
      <c r="I436" s="189"/>
      <c r="J436" s="189"/>
      <c r="K436" s="487"/>
      <c r="L436" s="417"/>
      <c r="M436" s="230"/>
      <c r="N436" s="189"/>
      <c r="O436" s="45"/>
      <c r="P436" s="124"/>
      <c r="Q436" s="230"/>
      <c r="R436" s="189"/>
      <c r="S436" s="190"/>
      <c r="T436" s="124"/>
      <c r="U436" s="230"/>
      <c r="V436" s="189"/>
      <c r="W436" s="190"/>
      <c r="X436" s="229"/>
      <c r="Y436" s="230"/>
      <c r="Z436" s="189"/>
      <c r="AA436" s="190"/>
      <c r="AB436" s="229"/>
      <c r="AC436" s="230"/>
      <c r="AD436" s="189"/>
      <c r="AE436" s="190"/>
    </row>
    <row r="437" spans="1:31" ht="11.25">
      <c r="A437" s="112" t="s">
        <v>572</v>
      </c>
      <c r="B437" s="98"/>
      <c r="C437" s="98"/>
      <c r="D437" s="98" t="s">
        <v>11</v>
      </c>
      <c r="E437" s="98"/>
      <c r="F437" s="98"/>
      <c r="G437" s="98"/>
      <c r="H437" s="261">
        <f>19352+16047+14432+1048+3666+3065+2925+891</f>
        <v>61426</v>
      </c>
      <c r="I437" s="189">
        <f>37146+27501+7037+5253</f>
        <v>76937</v>
      </c>
      <c r="J437" s="189">
        <v>0</v>
      </c>
      <c r="K437" s="480">
        <f>H437+I437+J437</f>
        <v>138363</v>
      </c>
      <c r="L437" s="417" t="s">
        <v>213</v>
      </c>
      <c r="M437" s="230">
        <f>116000+22000</f>
        <v>138000</v>
      </c>
      <c r="N437" s="107">
        <f>O437/M437</f>
        <v>1.0026304347826087</v>
      </c>
      <c r="O437" s="45">
        <f>K437</f>
        <v>138363</v>
      </c>
      <c r="P437" s="124" t="s">
        <v>213</v>
      </c>
      <c r="Q437" s="230">
        <f>116000+22000</f>
        <v>138000</v>
      </c>
      <c r="R437" s="107">
        <f>S437/Q437</f>
        <v>1.0026304347826087</v>
      </c>
      <c r="S437" s="190">
        <f>O437</f>
        <v>138363</v>
      </c>
      <c r="T437" s="124" t="s">
        <v>213</v>
      </c>
      <c r="U437" s="230">
        <f>116000+22000</f>
        <v>138000</v>
      </c>
      <c r="V437" s="107">
        <f>W437/U437</f>
        <v>1.0026304347826087</v>
      </c>
      <c r="W437" s="190">
        <f>S437</f>
        <v>138363</v>
      </c>
      <c r="X437" s="229" t="s">
        <v>213</v>
      </c>
      <c r="Y437" s="230">
        <v>138000</v>
      </c>
      <c r="Z437" s="242">
        <v>1.0026304347826087</v>
      </c>
      <c r="AA437" s="190">
        <v>138363</v>
      </c>
      <c r="AB437" s="229" t="s">
        <v>213</v>
      </c>
      <c r="AC437" s="230">
        <v>138000</v>
      </c>
      <c r="AD437" s="242">
        <v>1.0026304347826087</v>
      </c>
      <c r="AE437" s="190">
        <v>138363</v>
      </c>
    </row>
    <row r="438" spans="1:31" ht="11.25">
      <c r="A438" s="112" t="s">
        <v>573</v>
      </c>
      <c r="B438" s="98"/>
      <c r="C438" s="98"/>
      <c r="D438" s="98" t="s">
        <v>12</v>
      </c>
      <c r="E438" s="98"/>
      <c r="F438" s="98"/>
      <c r="G438" s="98"/>
      <c r="H438" s="261"/>
      <c r="I438" s="189"/>
      <c r="J438" s="189"/>
      <c r="K438" s="487"/>
      <c r="L438" s="417"/>
      <c r="M438" s="230"/>
      <c r="N438" s="189"/>
      <c r="O438" s="45"/>
      <c r="P438" s="124"/>
      <c r="Q438" s="230"/>
      <c r="R438" s="189"/>
      <c r="S438" s="190"/>
      <c r="T438" s="124"/>
      <c r="U438" s="230"/>
      <c r="V438" s="189"/>
      <c r="W438" s="190"/>
      <c r="X438" s="229"/>
      <c r="Y438" s="230"/>
      <c r="Z438" s="189"/>
      <c r="AA438" s="190"/>
      <c r="AB438" s="229"/>
      <c r="AC438" s="230"/>
      <c r="AD438" s="189"/>
      <c r="AE438" s="190"/>
    </row>
    <row r="439" spans="1:31" ht="11.25">
      <c r="A439" s="112" t="s">
        <v>574</v>
      </c>
      <c r="B439" s="98"/>
      <c r="C439" s="98"/>
      <c r="D439" s="98" t="s">
        <v>13</v>
      </c>
      <c r="E439" s="98"/>
      <c r="F439" s="98"/>
      <c r="G439" s="98"/>
      <c r="H439" s="261"/>
      <c r="I439" s="189"/>
      <c r="J439" s="189"/>
      <c r="K439" s="487"/>
      <c r="L439" s="417"/>
      <c r="M439" s="230"/>
      <c r="N439" s="87"/>
      <c r="O439" s="45"/>
      <c r="P439" s="124"/>
      <c r="Q439" s="230"/>
      <c r="R439" s="87"/>
      <c r="S439" s="190"/>
      <c r="T439" s="124"/>
      <c r="U439" s="230"/>
      <c r="V439" s="87"/>
      <c r="W439" s="190"/>
      <c r="X439" s="229"/>
      <c r="Y439" s="230"/>
      <c r="Z439" s="189"/>
      <c r="AA439" s="190"/>
      <c r="AB439" s="229"/>
      <c r="AC439" s="230"/>
      <c r="AD439" s="189"/>
      <c r="AE439" s="190"/>
    </row>
    <row r="440" spans="1:31" ht="11.25">
      <c r="A440" s="112" t="s">
        <v>575</v>
      </c>
      <c r="B440" s="98"/>
      <c r="C440" s="98"/>
      <c r="D440" s="98" t="s">
        <v>14</v>
      </c>
      <c r="E440" s="98"/>
      <c r="F440" s="98"/>
      <c r="G440" s="98"/>
      <c r="H440" s="261">
        <f>15478+4568+2977+902</f>
        <v>23925</v>
      </c>
      <c r="I440" s="189">
        <f>19442+6184+3739+1221</f>
        <v>30586</v>
      </c>
      <c r="J440" s="189">
        <v>0</v>
      </c>
      <c r="K440" s="480">
        <f>H440+I440+J440</f>
        <v>54511</v>
      </c>
      <c r="L440" s="417" t="s">
        <v>213</v>
      </c>
      <c r="M440" s="230">
        <f>19400+3700</f>
        <v>23100</v>
      </c>
      <c r="N440" s="242">
        <f>O440/M440</f>
        <v>2.35978354978355</v>
      </c>
      <c r="O440" s="45">
        <f>K440</f>
        <v>54511</v>
      </c>
      <c r="P440" s="124" t="s">
        <v>213</v>
      </c>
      <c r="Q440" s="230">
        <f>19400+3700</f>
        <v>23100</v>
      </c>
      <c r="R440" s="242">
        <f>S440/Q440</f>
        <v>2.35978354978355</v>
      </c>
      <c r="S440" s="190">
        <f>O440</f>
        <v>54511</v>
      </c>
      <c r="T440" s="124" t="s">
        <v>213</v>
      </c>
      <c r="U440" s="230">
        <f>Q440*2</f>
        <v>46200</v>
      </c>
      <c r="V440" s="242">
        <f>R440*2</f>
        <v>4.7195670995671</v>
      </c>
      <c r="W440" s="190">
        <f>U440*V440</f>
        <v>218044.00000000003</v>
      </c>
      <c r="X440" s="229" t="s">
        <v>213</v>
      </c>
      <c r="Y440" s="230">
        <v>46200</v>
      </c>
      <c r="Z440" s="242">
        <v>4.7195670995671</v>
      </c>
      <c r="AA440" s="190">
        <v>218044</v>
      </c>
      <c r="AB440" s="229" t="s">
        <v>213</v>
      </c>
      <c r="AC440" s="230">
        <v>46200</v>
      </c>
      <c r="AD440" s="242">
        <v>4.7195670995671</v>
      </c>
      <c r="AE440" s="190">
        <v>218044</v>
      </c>
    </row>
    <row r="441" spans="1:31" ht="11.25">
      <c r="A441" s="112"/>
      <c r="B441" s="98"/>
      <c r="C441" s="98" t="s">
        <v>15</v>
      </c>
      <c r="D441" s="98"/>
      <c r="E441" s="98"/>
      <c r="F441" s="98"/>
      <c r="G441" s="98"/>
      <c r="H441" s="261"/>
      <c r="I441" s="189"/>
      <c r="J441" s="189"/>
      <c r="K441" s="487"/>
      <c r="L441" s="417"/>
      <c r="M441" s="230"/>
      <c r="N441" s="189"/>
      <c r="O441" s="45"/>
      <c r="P441" s="124"/>
      <c r="Q441" s="230"/>
      <c r="R441" s="189"/>
      <c r="S441" s="190"/>
      <c r="T441" s="124"/>
      <c r="U441" s="230"/>
      <c r="V441" s="189"/>
      <c r="W441" s="190"/>
      <c r="X441" s="229"/>
      <c r="Y441" s="230"/>
      <c r="Z441" s="189"/>
      <c r="AA441" s="190"/>
      <c r="AB441" s="229"/>
      <c r="AC441" s="230"/>
      <c r="AD441" s="189"/>
      <c r="AE441" s="190"/>
    </row>
    <row r="442" spans="1:31" ht="11.25">
      <c r="A442" s="112" t="s">
        <v>576</v>
      </c>
      <c r="B442" s="98"/>
      <c r="C442" s="98"/>
      <c r="D442" s="98" t="s">
        <v>11</v>
      </c>
      <c r="E442" s="98"/>
      <c r="F442" s="98"/>
      <c r="G442" s="98"/>
      <c r="H442" s="261"/>
      <c r="I442" s="189"/>
      <c r="J442" s="189"/>
      <c r="K442" s="487"/>
      <c r="L442" s="417"/>
      <c r="M442" s="230"/>
      <c r="N442" s="189"/>
      <c r="O442" s="45"/>
      <c r="P442" s="124"/>
      <c r="Q442" s="230"/>
      <c r="R442" s="189"/>
      <c r="S442" s="190"/>
      <c r="T442" s="124"/>
      <c r="U442" s="230"/>
      <c r="V442" s="189"/>
      <c r="W442" s="190"/>
      <c r="X442" s="229"/>
      <c r="Y442" s="230"/>
      <c r="Z442" s="189"/>
      <c r="AA442" s="190"/>
      <c r="AB442" s="229"/>
      <c r="AC442" s="230"/>
      <c r="AD442" s="189"/>
      <c r="AE442" s="190"/>
    </row>
    <row r="443" spans="1:31" ht="11.25">
      <c r="A443" s="112" t="s">
        <v>577</v>
      </c>
      <c r="B443" s="98"/>
      <c r="C443" s="98"/>
      <c r="D443" s="98" t="s">
        <v>12</v>
      </c>
      <c r="E443" s="98"/>
      <c r="F443" s="98"/>
      <c r="G443" s="98"/>
      <c r="H443" s="261"/>
      <c r="I443" s="189"/>
      <c r="J443" s="189"/>
      <c r="K443" s="487"/>
      <c r="L443" s="417"/>
      <c r="M443" s="230"/>
      <c r="N443" s="189"/>
      <c r="O443" s="45"/>
      <c r="P443" s="124"/>
      <c r="Q443" s="230"/>
      <c r="R443" s="100"/>
      <c r="S443" s="36"/>
      <c r="T443" s="124"/>
      <c r="U443" s="230"/>
      <c r="V443" s="100"/>
      <c r="W443" s="36"/>
      <c r="X443" s="229"/>
      <c r="Y443" s="230"/>
      <c r="Z443" s="100"/>
      <c r="AA443" s="36"/>
      <c r="AB443" s="229"/>
      <c r="AC443" s="230"/>
      <c r="AD443" s="100"/>
      <c r="AE443" s="36"/>
    </row>
    <row r="444" spans="1:31" ht="11.25">
      <c r="A444" s="112" t="s">
        <v>578</v>
      </c>
      <c r="B444" s="98"/>
      <c r="C444" s="98"/>
      <c r="D444" s="98" t="s">
        <v>13</v>
      </c>
      <c r="E444" s="98"/>
      <c r="F444" s="98"/>
      <c r="G444" s="98"/>
      <c r="H444" s="261"/>
      <c r="I444" s="189"/>
      <c r="J444" s="189"/>
      <c r="K444" s="487"/>
      <c r="L444" s="417"/>
      <c r="M444" s="230"/>
      <c r="N444" s="189"/>
      <c r="O444" s="45"/>
      <c r="P444" s="124"/>
      <c r="Q444" s="230"/>
      <c r="R444" s="192"/>
      <c r="S444" s="36"/>
      <c r="T444" s="124"/>
      <c r="U444" s="230"/>
      <c r="V444" s="192"/>
      <c r="W444" s="36"/>
      <c r="X444" s="229"/>
      <c r="Y444" s="230"/>
      <c r="Z444" s="192"/>
      <c r="AA444" s="36"/>
      <c r="AB444" s="229"/>
      <c r="AC444" s="230"/>
      <c r="AD444" s="192"/>
      <c r="AE444" s="36"/>
    </row>
    <row r="445" spans="1:31" ht="11.25">
      <c r="A445" s="112" t="s">
        <v>579</v>
      </c>
      <c r="B445" s="98"/>
      <c r="C445" s="98"/>
      <c r="D445" s="98" t="s">
        <v>14</v>
      </c>
      <c r="E445" s="98"/>
      <c r="F445" s="98"/>
      <c r="G445" s="98"/>
      <c r="H445" s="261"/>
      <c r="I445" s="189"/>
      <c r="J445" s="189"/>
      <c r="K445" s="487"/>
      <c r="L445" s="417"/>
      <c r="M445" s="230"/>
      <c r="N445" s="189"/>
      <c r="O445" s="45"/>
      <c r="P445" s="124"/>
      <c r="Q445" s="230"/>
      <c r="R445" s="192"/>
      <c r="S445" s="36"/>
      <c r="T445" s="124"/>
      <c r="U445" s="230"/>
      <c r="V445" s="192"/>
      <c r="W445" s="36"/>
      <c r="X445" s="229"/>
      <c r="Y445" s="230"/>
      <c r="Z445" s="192"/>
      <c r="AA445" s="36"/>
      <c r="AB445" s="229"/>
      <c r="AC445" s="230"/>
      <c r="AD445" s="192"/>
      <c r="AE445" s="36"/>
    </row>
    <row r="446" spans="1:31" ht="11.25">
      <c r="A446" s="112"/>
      <c r="B446" s="98"/>
      <c r="C446" s="98" t="s">
        <v>16</v>
      </c>
      <c r="D446" s="98"/>
      <c r="E446" s="98"/>
      <c r="F446" s="98"/>
      <c r="G446" s="98"/>
      <c r="H446" s="478">
        <f>SUM(H436:H445)</f>
        <v>85351</v>
      </c>
      <c r="I446" s="87">
        <f>SUM(I436:I445)</f>
        <v>107523</v>
      </c>
      <c r="J446" s="87">
        <f>SUM(J436:J445)</f>
        <v>0</v>
      </c>
      <c r="K446" s="480">
        <f>H446+I446+J446</f>
        <v>192874</v>
      </c>
      <c r="L446" s="417" t="s">
        <v>213</v>
      </c>
      <c r="M446" s="230">
        <f>M437</f>
        <v>138000</v>
      </c>
      <c r="N446" s="107">
        <f>O446/M446</f>
        <v>1.3976376811594202</v>
      </c>
      <c r="O446" s="45">
        <f>SUM(O436:O445)</f>
        <v>192874</v>
      </c>
      <c r="P446" s="124" t="s">
        <v>213</v>
      </c>
      <c r="Q446" s="230">
        <f>Q437</f>
        <v>138000</v>
      </c>
      <c r="R446" s="107">
        <f>S446/Q446</f>
        <v>1.3976376811594202</v>
      </c>
      <c r="S446" s="190">
        <f>SUM(S436:S445)</f>
        <v>192874</v>
      </c>
      <c r="T446" s="124" t="s">
        <v>213</v>
      </c>
      <c r="U446" s="230">
        <f>U437</f>
        <v>138000</v>
      </c>
      <c r="V446" s="107">
        <f>W446/U446</f>
        <v>2.582659420289855</v>
      </c>
      <c r="W446" s="190">
        <f>SUM(W436:W445)</f>
        <v>356407</v>
      </c>
      <c r="X446" s="229" t="s">
        <v>213</v>
      </c>
      <c r="Y446" s="230">
        <f>Y437</f>
        <v>138000</v>
      </c>
      <c r="Z446" s="242">
        <f>AA446/Y446</f>
        <v>2.582659420289855</v>
      </c>
      <c r="AA446" s="190">
        <f>SUM(AA436:AA445)</f>
        <v>356407</v>
      </c>
      <c r="AB446" s="229" t="s">
        <v>213</v>
      </c>
      <c r="AC446" s="230">
        <f>AC437</f>
        <v>138000</v>
      </c>
      <c r="AD446" s="242">
        <f>AE446/AC446</f>
        <v>2.582659420289855</v>
      </c>
      <c r="AE446" s="190">
        <f>SUM(AE436:AE445)</f>
        <v>356407</v>
      </c>
    </row>
    <row r="447" spans="1:31" ht="11.25">
      <c r="A447" s="112"/>
      <c r="B447" s="98"/>
      <c r="C447" s="98" t="s">
        <v>10</v>
      </c>
      <c r="D447" s="98"/>
      <c r="E447" s="98"/>
      <c r="F447" s="98"/>
      <c r="G447" s="98"/>
      <c r="H447" s="261"/>
      <c r="I447" s="189"/>
      <c r="J447" s="189"/>
      <c r="K447" s="487"/>
      <c r="L447" s="417"/>
      <c r="M447" s="230"/>
      <c r="N447" s="189"/>
      <c r="O447" s="45"/>
      <c r="P447" s="124"/>
      <c r="Q447" s="230"/>
      <c r="R447" s="192"/>
      <c r="S447" s="36"/>
      <c r="T447" s="124"/>
      <c r="U447" s="230"/>
      <c r="V447" s="192"/>
      <c r="W447" s="36"/>
      <c r="X447" s="229"/>
      <c r="Y447" s="230"/>
      <c r="Z447" s="192"/>
      <c r="AA447" s="36"/>
      <c r="AB447" s="229"/>
      <c r="AC447" s="230"/>
      <c r="AD447" s="192"/>
      <c r="AE447" s="36"/>
    </row>
    <row r="448" spans="1:31" ht="11.25">
      <c r="A448" s="112" t="s">
        <v>580</v>
      </c>
      <c r="B448" s="98"/>
      <c r="C448" s="98"/>
      <c r="D448" s="98" t="s">
        <v>17</v>
      </c>
      <c r="E448" s="98"/>
      <c r="F448" s="98"/>
      <c r="G448" s="98"/>
      <c r="H448" s="261"/>
      <c r="I448" s="189"/>
      <c r="J448" s="189"/>
      <c r="K448" s="487"/>
      <c r="L448" s="417"/>
      <c r="M448" s="230"/>
      <c r="N448" s="189"/>
      <c r="O448" s="45"/>
      <c r="P448" s="124"/>
      <c r="Q448" s="230"/>
      <c r="R448" s="100"/>
      <c r="S448" s="36"/>
      <c r="T448" s="124"/>
      <c r="U448" s="230"/>
      <c r="V448" s="100"/>
      <c r="W448" s="36"/>
      <c r="X448" s="229"/>
      <c r="Y448" s="230"/>
      <c r="Z448" s="100"/>
      <c r="AA448" s="36"/>
      <c r="AB448" s="229"/>
      <c r="AC448" s="230"/>
      <c r="AD448" s="100"/>
      <c r="AE448" s="36"/>
    </row>
    <row r="449" spans="1:31" ht="11.25">
      <c r="A449" s="112" t="s">
        <v>581</v>
      </c>
      <c r="B449" s="98"/>
      <c r="C449" s="98"/>
      <c r="D449" s="98" t="s">
        <v>18</v>
      </c>
      <c r="E449" s="98"/>
      <c r="F449" s="98"/>
      <c r="G449" s="98"/>
      <c r="H449" s="261">
        <f>7414+1407</f>
        <v>8821</v>
      </c>
      <c r="I449" s="189">
        <f>5927+1125</f>
        <v>7052</v>
      </c>
      <c r="J449" s="189">
        <f>3480+660</f>
        <v>4140</v>
      </c>
      <c r="K449" s="480">
        <f>H449+I449+J449</f>
        <v>20013</v>
      </c>
      <c r="L449" s="417" t="s">
        <v>214</v>
      </c>
      <c r="M449" s="230">
        <f>116000+22000</f>
        <v>138000</v>
      </c>
      <c r="N449" s="107">
        <f>O449/M449</f>
        <v>0.14502173913043478</v>
      </c>
      <c r="O449" s="45">
        <f>K449</f>
        <v>20013</v>
      </c>
      <c r="P449" s="124" t="s">
        <v>214</v>
      </c>
      <c r="Q449" s="230">
        <f>116000+22000</f>
        <v>138000</v>
      </c>
      <c r="R449" s="107">
        <f>S449/Q449</f>
        <v>0.14502173913043478</v>
      </c>
      <c r="S449" s="190">
        <f>O449</f>
        <v>20013</v>
      </c>
      <c r="T449" s="124" t="s">
        <v>214</v>
      </c>
      <c r="U449" s="230">
        <f>116000+22000</f>
        <v>138000</v>
      </c>
      <c r="V449" s="107">
        <v>0.31</v>
      </c>
      <c r="W449" s="190">
        <f>U449*V449</f>
        <v>42780</v>
      </c>
      <c r="X449" s="229" t="s">
        <v>214</v>
      </c>
      <c r="Y449" s="230">
        <v>138000</v>
      </c>
      <c r="Z449" s="242">
        <v>0.31</v>
      </c>
      <c r="AA449" s="190">
        <v>42780</v>
      </c>
      <c r="AB449" s="229" t="s">
        <v>214</v>
      </c>
      <c r="AC449" s="230">
        <v>138000</v>
      </c>
      <c r="AD449" s="242">
        <v>0.31</v>
      </c>
      <c r="AE449" s="190">
        <v>42780</v>
      </c>
    </row>
    <row r="450" spans="1:31" ht="11.25">
      <c r="A450" s="112"/>
      <c r="B450" s="98"/>
      <c r="C450" s="98" t="s">
        <v>15</v>
      </c>
      <c r="D450" s="98"/>
      <c r="E450" s="98"/>
      <c r="F450" s="98"/>
      <c r="G450" s="98"/>
      <c r="H450" s="261"/>
      <c r="I450" s="189"/>
      <c r="J450" s="189"/>
      <c r="K450" s="487"/>
      <c r="L450" s="417"/>
      <c r="M450" s="230"/>
      <c r="N450" s="189"/>
      <c r="O450" s="45"/>
      <c r="P450" s="124"/>
      <c r="Q450" s="230"/>
      <c r="R450" s="100"/>
      <c r="S450" s="36"/>
      <c r="T450" s="124"/>
      <c r="U450" s="230"/>
      <c r="V450" s="100"/>
      <c r="W450" s="36"/>
      <c r="X450" s="229"/>
      <c r="Y450" s="230"/>
      <c r="Z450" s="100"/>
      <c r="AA450" s="36"/>
      <c r="AB450" s="229"/>
      <c r="AC450" s="230"/>
      <c r="AD450" s="100"/>
      <c r="AE450" s="36"/>
    </row>
    <row r="451" spans="1:31" ht="11.25">
      <c r="A451" s="112" t="s">
        <v>582</v>
      </c>
      <c r="B451" s="98"/>
      <c r="C451" s="98"/>
      <c r="D451" s="98" t="s">
        <v>17</v>
      </c>
      <c r="E451" s="98"/>
      <c r="F451" s="98"/>
      <c r="G451" s="98"/>
      <c r="H451" s="261"/>
      <c r="I451" s="189"/>
      <c r="J451" s="189"/>
      <c r="K451" s="487"/>
      <c r="L451" s="417"/>
      <c r="M451" s="230"/>
      <c r="N451" s="189"/>
      <c r="O451" s="45"/>
      <c r="P451" s="124"/>
      <c r="Q451" s="230"/>
      <c r="R451" s="100"/>
      <c r="S451" s="36"/>
      <c r="T451" s="124"/>
      <c r="U451" s="230"/>
      <c r="V451" s="100"/>
      <c r="W451" s="36"/>
      <c r="X451" s="229"/>
      <c r="Y451" s="230"/>
      <c r="Z451" s="100"/>
      <c r="AA451" s="36"/>
      <c r="AB451" s="229"/>
      <c r="AC451" s="230"/>
      <c r="AD451" s="100"/>
      <c r="AE451" s="36"/>
    </row>
    <row r="452" spans="1:31" ht="11.25">
      <c r="A452" s="112" t="s">
        <v>583</v>
      </c>
      <c r="B452" s="98"/>
      <c r="C452" s="98"/>
      <c r="D452" s="98" t="s">
        <v>19</v>
      </c>
      <c r="E452" s="98"/>
      <c r="F452" s="98"/>
      <c r="G452" s="98"/>
      <c r="H452" s="229"/>
      <c r="I452" s="189"/>
      <c r="J452" s="189"/>
      <c r="K452" s="487"/>
      <c r="L452" s="417"/>
      <c r="M452" s="230"/>
      <c r="N452" s="189"/>
      <c r="O452" s="45"/>
      <c r="P452" s="124"/>
      <c r="Q452" s="230"/>
      <c r="R452" s="100"/>
      <c r="S452" s="36"/>
      <c r="T452" s="124"/>
      <c r="U452" s="230"/>
      <c r="V452" s="100"/>
      <c r="W452" s="36"/>
      <c r="X452" s="229"/>
      <c r="Y452" s="230"/>
      <c r="Z452" s="100"/>
      <c r="AA452" s="36"/>
      <c r="AB452" s="229"/>
      <c r="AC452" s="230"/>
      <c r="AD452" s="100"/>
      <c r="AE452" s="36"/>
    </row>
    <row r="453" spans="1:31" ht="11.25">
      <c r="A453" s="112"/>
      <c r="B453" s="98"/>
      <c r="C453" s="98" t="s">
        <v>20</v>
      </c>
      <c r="D453" s="98"/>
      <c r="E453" s="98"/>
      <c r="F453" s="98"/>
      <c r="G453" s="98"/>
      <c r="H453" s="478">
        <f>SUM(H447:H452)</f>
        <v>8821</v>
      </c>
      <c r="I453" s="87">
        <f>SUM(I447:I452)</f>
        <v>7052</v>
      </c>
      <c r="J453" s="87">
        <f>SUM(J447:J452)</f>
        <v>4140</v>
      </c>
      <c r="K453" s="480">
        <f>H453+I453+J453</f>
        <v>20013</v>
      </c>
      <c r="L453" s="417" t="s">
        <v>214</v>
      </c>
      <c r="M453" s="230">
        <v>138000</v>
      </c>
      <c r="N453" s="107">
        <f>O453/M453</f>
        <v>0.14502173913043478</v>
      </c>
      <c r="O453" s="45">
        <f>SUM(O447:O452)</f>
        <v>20013</v>
      </c>
      <c r="P453" s="124" t="s">
        <v>214</v>
      </c>
      <c r="Q453" s="230">
        <v>138000</v>
      </c>
      <c r="R453" s="107">
        <f>S453/Q453</f>
        <v>0.14502173913043478</v>
      </c>
      <c r="S453" s="190">
        <f>SUM(S447:S452)</f>
        <v>20013</v>
      </c>
      <c r="T453" s="124" t="s">
        <v>214</v>
      </c>
      <c r="U453" s="230">
        <v>138000</v>
      </c>
      <c r="V453" s="107">
        <f>W453/U453</f>
        <v>0.31</v>
      </c>
      <c r="W453" s="190">
        <f>SUM(W447:W452)</f>
        <v>42780</v>
      </c>
      <c r="X453" s="229" t="s">
        <v>214</v>
      </c>
      <c r="Y453" s="230">
        <v>138000</v>
      </c>
      <c r="Z453" s="242">
        <f>AA453/Y453</f>
        <v>0.31</v>
      </c>
      <c r="AA453" s="190">
        <f>SUM(AA447:AA452)</f>
        <v>42780</v>
      </c>
      <c r="AB453" s="229" t="s">
        <v>214</v>
      </c>
      <c r="AC453" s="230">
        <v>138000</v>
      </c>
      <c r="AD453" s="242">
        <f>AE453/AC453</f>
        <v>0.31</v>
      </c>
      <c r="AE453" s="190">
        <f>SUM(AE447:AE452)</f>
        <v>42780</v>
      </c>
    </row>
    <row r="454" spans="1:31" ht="11.25">
      <c r="A454" s="112"/>
      <c r="B454" s="98" t="s">
        <v>220</v>
      </c>
      <c r="C454" s="98"/>
      <c r="D454" s="98"/>
      <c r="E454" s="98"/>
      <c r="F454" s="98"/>
      <c r="G454" s="98"/>
      <c r="H454" s="478">
        <f>H433+H446+H453</f>
        <v>98231</v>
      </c>
      <c r="I454" s="87">
        <f>I433+I446+I453</f>
        <v>119850</v>
      </c>
      <c r="J454" s="87">
        <f>J433+J446+J453</f>
        <v>4140</v>
      </c>
      <c r="K454" s="480">
        <f>K433+K446+K453</f>
        <v>222221</v>
      </c>
      <c r="L454" s="417" t="s">
        <v>213</v>
      </c>
      <c r="M454" s="230">
        <v>138000</v>
      </c>
      <c r="N454" s="107">
        <f>O454/M454</f>
        <v>1.6102971014492753</v>
      </c>
      <c r="O454" s="45">
        <f>O433+O446+O453</f>
        <v>222221</v>
      </c>
      <c r="P454" s="124" t="s">
        <v>213</v>
      </c>
      <c r="Q454" s="230">
        <v>138000</v>
      </c>
      <c r="R454" s="107">
        <f>S454/Q454</f>
        <v>1.6102971014492753</v>
      </c>
      <c r="S454" s="190">
        <f>S433+S446+S453</f>
        <v>222221</v>
      </c>
      <c r="T454" s="124" t="s">
        <v>213</v>
      </c>
      <c r="U454" s="230">
        <v>138000</v>
      </c>
      <c r="V454" s="107">
        <f>W454/U454</f>
        <v>2.9602971014492754</v>
      </c>
      <c r="W454" s="190">
        <f>W433+W446+W453</f>
        <v>408521</v>
      </c>
      <c r="X454" s="229" t="s">
        <v>213</v>
      </c>
      <c r="Y454" s="230">
        <v>138000</v>
      </c>
      <c r="Z454" s="242">
        <f>AA454/Y454</f>
        <v>2.9602971014492754</v>
      </c>
      <c r="AA454" s="190">
        <f>AA433+AA446+AA453</f>
        <v>408521</v>
      </c>
      <c r="AB454" s="229" t="s">
        <v>213</v>
      </c>
      <c r="AC454" s="230">
        <v>138000</v>
      </c>
      <c r="AD454" s="242">
        <f>AE454/AC454</f>
        <v>2.9602971014492754</v>
      </c>
      <c r="AE454" s="190">
        <f>AE433+AE446+AE453</f>
        <v>408521</v>
      </c>
    </row>
    <row r="455" spans="1:31" ht="11.25">
      <c r="A455" s="112"/>
      <c r="H455" s="478"/>
      <c r="I455" s="87"/>
      <c r="J455" s="87"/>
      <c r="K455" s="480"/>
      <c r="L455" s="159"/>
      <c r="M455" s="56"/>
      <c r="N455" s="87"/>
      <c r="O455" s="32"/>
      <c r="P455" s="89"/>
      <c r="Q455" s="56"/>
      <c r="R455" s="87"/>
      <c r="S455" s="88"/>
      <c r="T455" s="191"/>
      <c r="U455" s="230"/>
      <c r="V455" s="189"/>
      <c r="W455" s="190"/>
      <c r="X455" s="229"/>
      <c r="Y455" s="230"/>
      <c r="Z455" s="189"/>
      <c r="AA455" s="190"/>
      <c r="AB455" s="229"/>
      <c r="AC455" s="230"/>
      <c r="AD455" s="189"/>
      <c r="AE455" s="190"/>
    </row>
    <row r="456" spans="1:31" ht="11.25">
      <c r="A456" s="97" t="s">
        <v>584</v>
      </c>
      <c r="B456" s="98" t="s">
        <v>292</v>
      </c>
      <c r="C456" s="98"/>
      <c r="D456" s="98"/>
      <c r="E456" s="98"/>
      <c r="F456" s="98"/>
      <c r="G456" s="98"/>
      <c r="H456" s="261"/>
      <c r="I456" s="189"/>
      <c r="J456" s="189"/>
      <c r="K456" s="487"/>
      <c r="L456" s="417"/>
      <c r="M456" s="230"/>
      <c r="N456" s="87"/>
      <c r="O456" s="45"/>
      <c r="P456" s="124"/>
      <c r="Q456" s="113"/>
      <c r="R456" s="87"/>
      <c r="S456" s="36"/>
      <c r="T456" s="191"/>
      <c r="U456" s="113"/>
      <c r="V456" s="189"/>
      <c r="W456" s="36"/>
      <c r="X456" s="229"/>
      <c r="Y456" s="113"/>
      <c r="Z456" s="189"/>
      <c r="AA456" s="36"/>
      <c r="AB456" s="229"/>
      <c r="AC456" s="113"/>
      <c r="AD456" s="189"/>
      <c r="AE456" s="36"/>
    </row>
    <row r="457" spans="1:31" ht="11.25">
      <c r="A457" s="97"/>
      <c r="B457" s="98"/>
      <c r="C457" s="98" t="s">
        <v>31</v>
      </c>
      <c r="D457" s="98"/>
      <c r="E457" s="98"/>
      <c r="F457" s="98"/>
      <c r="G457" s="98"/>
      <c r="H457" s="261"/>
      <c r="I457" s="189"/>
      <c r="J457" s="189"/>
      <c r="K457" s="480"/>
      <c r="L457" s="417"/>
      <c r="M457" s="230"/>
      <c r="N457" s="87"/>
      <c r="O457" s="45"/>
      <c r="P457" s="124"/>
      <c r="Q457" s="113"/>
      <c r="R457" s="87"/>
      <c r="S457" s="190"/>
      <c r="T457" s="191"/>
      <c r="U457" s="113"/>
      <c r="V457" s="189"/>
      <c r="W457" s="190"/>
      <c r="X457" s="229"/>
      <c r="Y457" s="113"/>
      <c r="Z457" s="189"/>
      <c r="AA457" s="190"/>
      <c r="AB457" s="229"/>
      <c r="AC457" s="113"/>
      <c r="AD457" s="189"/>
      <c r="AE457" s="190"/>
    </row>
    <row r="458" spans="1:31" ht="11.25">
      <c r="A458" s="97" t="s">
        <v>585</v>
      </c>
      <c r="B458" s="98"/>
      <c r="C458" s="98"/>
      <c r="D458" s="98" t="s">
        <v>177</v>
      </c>
      <c r="E458" s="98"/>
      <c r="F458" s="98"/>
      <c r="G458" s="98"/>
      <c r="H458" s="261">
        <f>56182+162967+86935+107749+87843+140267+334965+212462+18900+288866+545871+100122</f>
        <v>2143129</v>
      </c>
      <c r="I458" s="189">
        <f>16975+44665+23825+29530+24074+42113+149434+97549+130584+255692+130120</f>
        <v>944561</v>
      </c>
      <c r="J458" s="189">
        <v>0</v>
      </c>
      <c r="K458" s="487">
        <f>H458+I458+J458</f>
        <v>3087690</v>
      </c>
      <c r="L458" s="417" t="s">
        <v>208</v>
      </c>
      <c r="M458" s="230">
        <f>18+70+47+54+46+91+89+33+51+23+1</f>
        <v>523</v>
      </c>
      <c r="N458" s="87">
        <f>O458/M458</f>
        <v>5903.804971319311</v>
      </c>
      <c r="O458" s="45">
        <f>K458</f>
        <v>3087690</v>
      </c>
      <c r="P458" s="124" t="s">
        <v>208</v>
      </c>
      <c r="Q458" s="230">
        <f>18+70+47+54+46+91+89+33+51+23+1</f>
        <v>523</v>
      </c>
      <c r="R458" s="87">
        <f>S458/Q458</f>
        <v>5903.804971319311</v>
      </c>
      <c r="S458" s="190">
        <f>O458</f>
        <v>3087690</v>
      </c>
      <c r="T458" s="124" t="s">
        <v>208</v>
      </c>
      <c r="U458" s="230">
        <f>18+70+47+54+46+91+89+33+51+23+1</f>
        <v>523</v>
      </c>
      <c r="V458" s="87">
        <f>W458/U458</f>
        <v>5903.804971319311</v>
      </c>
      <c r="W458" s="190">
        <f>S458</f>
        <v>3087690</v>
      </c>
      <c r="X458" s="229" t="s">
        <v>208</v>
      </c>
      <c r="Y458" s="230">
        <v>523</v>
      </c>
      <c r="Z458" s="189">
        <v>5903.804971319311</v>
      </c>
      <c r="AA458" s="190">
        <v>3087690</v>
      </c>
      <c r="AB458" s="229" t="s">
        <v>208</v>
      </c>
      <c r="AC458" s="230">
        <v>523</v>
      </c>
      <c r="AD458" s="189">
        <v>5903.804971319311</v>
      </c>
      <c r="AE458" s="190">
        <v>3087690</v>
      </c>
    </row>
    <row r="459" spans="1:31" ht="11.25">
      <c r="A459" s="97" t="s">
        <v>586</v>
      </c>
      <c r="B459" s="98"/>
      <c r="C459" s="98"/>
      <c r="D459" s="98" t="s">
        <v>178</v>
      </c>
      <c r="E459" s="98"/>
      <c r="F459" s="98"/>
      <c r="G459" s="98"/>
      <c r="H459" s="261">
        <f>69528+438811+5696</f>
        <v>514035</v>
      </c>
      <c r="I459" s="189">
        <f>32568+205544+2669</f>
        <v>240781</v>
      </c>
      <c r="J459" s="189">
        <v>0</v>
      </c>
      <c r="K459" s="487">
        <f>H459+I459+J459</f>
        <v>754816</v>
      </c>
      <c r="L459" s="417" t="s">
        <v>213</v>
      </c>
      <c r="M459" s="230">
        <f>480+4935+17</f>
        <v>5432</v>
      </c>
      <c r="N459" s="87">
        <f>O459/M459</f>
        <v>138.95729013254785</v>
      </c>
      <c r="O459" s="45">
        <f>K459</f>
        <v>754816</v>
      </c>
      <c r="P459" s="124" t="s">
        <v>213</v>
      </c>
      <c r="Q459" s="230">
        <f>480+4935+17</f>
        <v>5432</v>
      </c>
      <c r="R459" s="87">
        <f>S459/Q459</f>
        <v>138.95729013254785</v>
      </c>
      <c r="S459" s="190">
        <f>O459</f>
        <v>754816</v>
      </c>
      <c r="T459" s="124" t="s">
        <v>213</v>
      </c>
      <c r="U459" s="230">
        <f>480+4935+17</f>
        <v>5432</v>
      </c>
      <c r="V459" s="87">
        <f>W459/U459</f>
        <v>138.95729013254785</v>
      </c>
      <c r="W459" s="190">
        <f>S459</f>
        <v>754816</v>
      </c>
      <c r="X459" s="229" t="s">
        <v>213</v>
      </c>
      <c r="Y459" s="230">
        <v>5432</v>
      </c>
      <c r="Z459" s="189">
        <v>138.95729013254785</v>
      </c>
      <c r="AA459" s="190">
        <v>754816</v>
      </c>
      <c r="AB459" s="229" t="s">
        <v>213</v>
      </c>
      <c r="AC459" s="230">
        <v>5432</v>
      </c>
      <c r="AD459" s="189">
        <v>138.95729013254785</v>
      </c>
      <c r="AE459" s="190">
        <v>754816</v>
      </c>
    </row>
    <row r="460" spans="1:31" ht="11.25">
      <c r="A460" s="112"/>
      <c r="B460" s="98"/>
      <c r="C460" s="98" t="s">
        <v>10</v>
      </c>
      <c r="D460" s="98"/>
      <c r="E460" s="98"/>
      <c r="F460" s="98"/>
      <c r="G460" s="98"/>
      <c r="H460" s="261"/>
      <c r="I460" s="189"/>
      <c r="J460" s="189"/>
      <c r="K460" s="487"/>
      <c r="L460" s="417"/>
      <c r="M460" s="230"/>
      <c r="N460" s="189"/>
      <c r="O460" s="45"/>
      <c r="P460" s="124"/>
      <c r="Q460" s="230"/>
      <c r="R460" s="189"/>
      <c r="S460" s="190"/>
      <c r="T460" s="124"/>
      <c r="U460" s="230"/>
      <c r="V460" s="189"/>
      <c r="W460" s="190"/>
      <c r="X460" s="229"/>
      <c r="Y460" s="230"/>
      <c r="Z460" s="189"/>
      <c r="AA460" s="190"/>
      <c r="AB460" s="229"/>
      <c r="AC460" s="230"/>
      <c r="AD460" s="189"/>
      <c r="AE460" s="190"/>
    </row>
    <row r="461" spans="1:31" ht="11.25">
      <c r="A461" s="112" t="s">
        <v>587</v>
      </c>
      <c r="B461" s="98"/>
      <c r="C461" s="98"/>
      <c r="D461" s="98" t="s">
        <v>11</v>
      </c>
      <c r="E461" s="98"/>
      <c r="F461" s="98"/>
      <c r="G461" s="98"/>
      <c r="H461" s="261">
        <f>44050+10217+7032+8930+4161+1730+346+8114+6731+6436+1887+12486</f>
        <v>112120</v>
      </c>
      <c r="I461" s="189">
        <f>53286+19611+12051+11217+359+15574+11536+14453</f>
        <v>138087</v>
      </c>
      <c r="J461" s="189">
        <f>43710</f>
        <v>43710</v>
      </c>
      <c r="K461" s="487">
        <f>H461+I461+J461</f>
        <v>293917</v>
      </c>
      <c r="L461" s="417" t="s">
        <v>214</v>
      </c>
      <c r="M461" s="230">
        <f>930+21000+31+48700+8500</f>
        <v>79161</v>
      </c>
      <c r="N461" s="107">
        <f>O461/M461</f>
        <v>3.7129015550586777</v>
      </c>
      <c r="O461" s="45">
        <f>K461</f>
        <v>293917</v>
      </c>
      <c r="P461" s="124" t="s">
        <v>214</v>
      </c>
      <c r="Q461" s="230">
        <f>930+21000+31+48700+8500</f>
        <v>79161</v>
      </c>
      <c r="R461" s="107">
        <f>S461/Q461</f>
        <v>3.7129015550586777</v>
      </c>
      <c r="S461" s="190">
        <f>O461</f>
        <v>293917</v>
      </c>
      <c r="T461" s="124" t="s">
        <v>214</v>
      </c>
      <c r="U461" s="230">
        <f>930+21000+31+48700+8500</f>
        <v>79161</v>
      </c>
      <c r="V461" s="107">
        <f>W461/U461</f>
        <v>3.7129015550586777</v>
      </c>
      <c r="W461" s="190">
        <f>S461</f>
        <v>293917</v>
      </c>
      <c r="X461" s="229" t="s">
        <v>214</v>
      </c>
      <c r="Y461" s="230">
        <v>79161</v>
      </c>
      <c r="Z461" s="242">
        <v>3.7129015550586777</v>
      </c>
      <c r="AA461" s="190">
        <v>293917</v>
      </c>
      <c r="AB461" s="229" t="s">
        <v>214</v>
      </c>
      <c r="AC461" s="230">
        <v>79161</v>
      </c>
      <c r="AD461" s="242">
        <v>3.7129015550586777</v>
      </c>
      <c r="AE461" s="190">
        <v>293917</v>
      </c>
    </row>
    <row r="462" spans="1:31" ht="11.25">
      <c r="A462" s="112" t="s">
        <v>588</v>
      </c>
      <c r="B462" s="98"/>
      <c r="C462" s="98"/>
      <c r="D462" s="98" t="s">
        <v>12</v>
      </c>
      <c r="E462" s="98"/>
      <c r="F462" s="98"/>
      <c r="G462" s="98"/>
      <c r="H462" s="261"/>
      <c r="I462" s="189"/>
      <c r="J462" s="189"/>
      <c r="K462" s="487"/>
      <c r="L462" s="417"/>
      <c r="M462" s="230"/>
      <c r="N462" s="189"/>
      <c r="O462" s="45"/>
      <c r="P462" s="124"/>
      <c r="Q462" s="230"/>
      <c r="R462" s="189"/>
      <c r="S462" s="190"/>
      <c r="T462" s="124"/>
      <c r="U462" s="230"/>
      <c r="V462" s="189"/>
      <c r="W462" s="190"/>
      <c r="X462" s="229"/>
      <c r="Y462" s="230"/>
      <c r="Z462" s="189"/>
      <c r="AA462" s="190"/>
      <c r="AB462" s="229"/>
      <c r="AC462" s="230"/>
      <c r="AD462" s="189"/>
      <c r="AE462" s="190"/>
    </row>
    <row r="463" spans="1:31" ht="11.25">
      <c r="A463" s="112" t="s">
        <v>589</v>
      </c>
      <c r="B463" s="98"/>
      <c r="C463" s="98"/>
      <c r="D463" s="98" t="s">
        <v>13</v>
      </c>
      <c r="E463" s="98"/>
      <c r="F463" s="98"/>
      <c r="G463" s="98"/>
      <c r="H463" s="261"/>
      <c r="I463" s="189"/>
      <c r="J463" s="189"/>
      <c r="K463" s="487"/>
      <c r="L463" s="417"/>
      <c r="M463" s="230"/>
      <c r="N463" s="189"/>
      <c r="O463" s="45"/>
      <c r="P463" s="124"/>
      <c r="Q463" s="230"/>
      <c r="R463" s="189"/>
      <c r="S463" s="190"/>
      <c r="T463" s="124"/>
      <c r="U463" s="230"/>
      <c r="V463" s="189"/>
      <c r="W463" s="190"/>
      <c r="X463" s="229"/>
      <c r="Y463" s="230"/>
      <c r="Z463" s="189"/>
      <c r="AA463" s="190"/>
      <c r="AB463" s="229"/>
      <c r="AC463" s="230"/>
      <c r="AD463" s="189"/>
      <c r="AE463" s="190"/>
    </row>
    <row r="464" spans="1:31" ht="11.25">
      <c r="A464" s="112" t="s">
        <v>590</v>
      </c>
      <c r="B464" s="98"/>
      <c r="C464" s="98"/>
      <c r="D464" s="98" t="s">
        <v>14</v>
      </c>
      <c r="E464" s="98"/>
      <c r="F464" s="98"/>
      <c r="G464" s="98"/>
      <c r="H464" s="261">
        <f>6494+1923</f>
        <v>8417</v>
      </c>
      <c r="I464" s="189">
        <f>8158+2604</f>
        <v>10762</v>
      </c>
      <c r="J464" s="189">
        <v>0</v>
      </c>
      <c r="K464" s="487">
        <f>H464+I464+J464</f>
        <v>19179</v>
      </c>
      <c r="L464" s="417" t="s">
        <v>213</v>
      </c>
      <c r="M464" s="230">
        <v>8100</v>
      </c>
      <c r="N464" s="107">
        <f>O464/M464</f>
        <v>2.367777777777778</v>
      </c>
      <c r="O464" s="45">
        <f>K464</f>
        <v>19179</v>
      </c>
      <c r="P464" s="124" t="s">
        <v>213</v>
      </c>
      <c r="Q464" s="230">
        <v>8100</v>
      </c>
      <c r="R464" s="107">
        <f>S464/Q464</f>
        <v>2.367777777777778</v>
      </c>
      <c r="S464" s="190">
        <f>O464</f>
        <v>19179</v>
      </c>
      <c r="T464" s="124" t="s">
        <v>213</v>
      </c>
      <c r="U464" s="230">
        <f>Q464*2</f>
        <v>16200</v>
      </c>
      <c r="V464" s="107">
        <f>R464*2</f>
        <v>4.735555555555556</v>
      </c>
      <c r="W464" s="190">
        <f>U464*V464</f>
        <v>76716</v>
      </c>
      <c r="X464" s="229" t="s">
        <v>213</v>
      </c>
      <c r="Y464" s="230">
        <v>16200</v>
      </c>
      <c r="Z464" s="242">
        <v>4.735555555555556</v>
      </c>
      <c r="AA464" s="190">
        <v>76716</v>
      </c>
      <c r="AB464" s="229" t="s">
        <v>213</v>
      </c>
      <c r="AC464" s="230">
        <v>16200</v>
      </c>
      <c r="AD464" s="242">
        <v>4.735555555555556</v>
      </c>
      <c r="AE464" s="190">
        <v>76716</v>
      </c>
    </row>
    <row r="465" spans="1:31" ht="11.25">
      <c r="A465" s="112"/>
      <c r="B465" s="98"/>
      <c r="C465" s="98" t="s">
        <v>15</v>
      </c>
      <c r="D465" s="98"/>
      <c r="E465" s="98"/>
      <c r="F465" s="98"/>
      <c r="G465" s="98"/>
      <c r="H465" s="261"/>
      <c r="I465" s="189"/>
      <c r="J465" s="189"/>
      <c r="K465" s="487"/>
      <c r="L465" s="417"/>
      <c r="M465" s="230"/>
      <c r="N465" s="189"/>
      <c r="O465" s="45"/>
      <c r="P465" s="124"/>
      <c r="Q465" s="230"/>
      <c r="R465" s="189"/>
      <c r="S465" s="190"/>
      <c r="T465" s="124"/>
      <c r="U465" s="230"/>
      <c r="V465" s="189"/>
      <c r="W465" s="190"/>
      <c r="X465" s="229"/>
      <c r="Y465" s="230"/>
      <c r="Z465" s="189"/>
      <c r="AA465" s="190"/>
      <c r="AB465" s="229"/>
      <c r="AC465" s="230"/>
      <c r="AD465" s="189"/>
      <c r="AE465" s="190"/>
    </row>
    <row r="466" spans="1:31" ht="11.25">
      <c r="A466" s="112" t="s">
        <v>591</v>
      </c>
      <c r="B466" s="98"/>
      <c r="C466" s="98"/>
      <c r="D466" s="98" t="s">
        <v>11</v>
      </c>
      <c r="E466" s="98"/>
      <c r="F466" s="98"/>
      <c r="G466" s="98"/>
      <c r="H466" s="261"/>
      <c r="I466" s="189"/>
      <c r="J466" s="189"/>
      <c r="K466" s="487"/>
      <c r="L466" s="417"/>
      <c r="M466" s="230"/>
      <c r="N466" s="189"/>
      <c r="O466" s="45"/>
      <c r="P466" s="124"/>
      <c r="Q466" s="230"/>
      <c r="R466" s="192"/>
      <c r="S466" s="36"/>
      <c r="T466" s="124"/>
      <c r="U466" s="230"/>
      <c r="V466" s="192"/>
      <c r="W466" s="36"/>
      <c r="X466" s="229"/>
      <c r="Y466" s="230"/>
      <c r="Z466" s="192"/>
      <c r="AA466" s="36"/>
      <c r="AB466" s="229"/>
      <c r="AC466" s="230"/>
      <c r="AD466" s="192"/>
      <c r="AE466" s="36"/>
    </row>
    <row r="467" spans="1:31" ht="11.25">
      <c r="A467" s="112" t="s">
        <v>592</v>
      </c>
      <c r="B467" s="98"/>
      <c r="C467" s="98"/>
      <c r="D467" s="98" t="s">
        <v>12</v>
      </c>
      <c r="E467" s="98"/>
      <c r="F467" s="98"/>
      <c r="G467" s="98"/>
      <c r="H467" s="261"/>
      <c r="I467" s="189"/>
      <c r="J467" s="189"/>
      <c r="K467" s="487"/>
      <c r="L467" s="417"/>
      <c r="M467" s="230"/>
      <c r="N467" s="189"/>
      <c r="O467" s="45"/>
      <c r="P467" s="124"/>
      <c r="Q467" s="230"/>
      <c r="R467" s="100"/>
      <c r="S467" s="36"/>
      <c r="T467" s="124"/>
      <c r="U467" s="230"/>
      <c r="V467" s="100"/>
      <c r="W467" s="36"/>
      <c r="X467" s="229"/>
      <c r="Y467" s="230"/>
      <c r="Z467" s="100"/>
      <c r="AA467" s="36"/>
      <c r="AB467" s="229"/>
      <c r="AC467" s="230"/>
      <c r="AD467" s="100"/>
      <c r="AE467" s="36"/>
    </row>
    <row r="468" spans="1:31" ht="11.25">
      <c r="A468" s="112" t="s">
        <v>593</v>
      </c>
      <c r="B468" s="98"/>
      <c r="C468" s="98"/>
      <c r="D468" s="98" t="s">
        <v>13</v>
      </c>
      <c r="E468" s="98"/>
      <c r="F468" s="98"/>
      <c r="G468" s="98"/>
      <c r="H468" s="261"/>
      <c r="I468" s="189"/>
      <c r="J468" s="189"/>
      <c r="K468" s="487"/>
      <c r="L468" s="417"/>
      <c r="M468" s="230"/>
      <c r="N468" s="189"/>
      <c r="O468" s="45"/>
      <c r="P468" s="124"/>
      <c r="Q468" s="230"/>
      <c r="R468" s="192"/>
      <c r="S468" s="36"/>
      <c r="T468" s="124"/>
      <c r="U468" s="230"/>
      <c r="V468" s="192"/>
      <c r="W468" s="36"/>
      <c r="X468" s="229"/>
      <c r="Y468" s="230"/>
      <c r="Z468" s="192"/>
      <c r="AA468" s="36"/>
      <c r="AB468" s="229"/>
      <c r="AC468" s="230"/>
      <c r="AD468" s="192"/>
      <c r="AE468" s="36"/>
    </row>
    <row r="469" spans="1:31" ht="11.25">
      <c r="A469" s="112" t="s">
        <v>594</v>
      </c>
      <c r="B469" s="98"/>
      <c r="C469" s="98"/>
      <c r="D469" s="98" t="s">
        <v>14</v>
      </c>
      <c r="E469" s="98"/>
      <c r="F469" s="98"/>
      <c r="G469" s="98"/>
      <c r="H469" s="261"/>
      <c r="I469" s="189"/>
      <c r="J469" s="189"/>
      <c r="K469" s="487"/>
      <c r="L469" s="417"/>
      <c r="M469" s="230"/>
      <c r="N469" s="189"/>
      <c r="O469" s="45"/>
      <c r="P469" s="124"/>
      <c r="Q469" s="230"/>
      <c r="R469" s="192"/>
      <c r="S469" s="36"/>
      <c r="T469" s="124"/>
      <c r="U469" s="230"/>
      <c r="V469" s="192"/>
      <c r="W469" s="36"/>
      <c r="X469" s="229"/>
      <c r="Y469" s="230"/>
      <c r="Z469" s="192"/>
      <c r="AA469" s="36"/>
      <c r="AB469" s="229"/>
      <c r="AC469" s="230"/>
      <c r="AD469" s="192"/>
      <c r="AE469" s="36"/>
    </row>
    <row r="470" spans="1:31" ht="11.25">
      <c r="A470" s="112"/>
      <c r="B470" s="98"/>
      <c r="C470" s="98" t="s">
        <v>16</v>
      </c>
      <c r="D470" s="98"/>
      <c r="E470" s="98"/>
      <c r="F470" s="98"/>
      <c r="G470" s="98"/>
      <c r="H470" s="261">
        <f>SUM(H460:H469)</f>
        <v>120537</v>
      </c>
      <c r="I470" s="189">
        <f>SUM(I460:I469)</f>
        <v>148849</v>
      </c>
      <c r="J470" s="189">
        <f>SUM(J460:J469)</f>
        <v>43710</v>
      </c>
      <c r="K470" s="487">
        <f>H470+I470+J470</f>
        <v>313096</v>
      </c>
      <c r="L470" s="417" t="s">
        <v>214</v>
      </c>
      <c r="M470" s="230">
        <f>M461</f>
        <v>79161</v>
      </c>
      <c r="N470" s="107">
        <f>O470/M470</f>
        <v>3.955179949722717</v>
      </c>
      <c r="O470" s="45">
        <f>SUM(O460:O469)</f>
        <v>313096</v>
      </c>
      <c r="P470" s="124" t="s">
        <v>214</v>
      </c>
      <c r="Q470" s="230">
        <f>Q461</f>
        <v>79161</v>
      </c>
      <c r="R470" s="107">
        <f>S470/Q470</f>
        <v>3.955179949722717</v>
      </c>
      <c r="S470" s="190">
        <f>SUM(S460:S469)</f>
        <v>313096</v>
      </c>
      <c r="T470" s="124" t="s">
        <v>214</v>
      </c>
      <c r="U470" s="230">
        <f>U461</f>
        <v>79161</v>
      </c>
      <c r="V470" s="107">
        <f>W470/U470</f>
        <v>4.682015133714835</v>
      </c>
      <c r="W470" s="190">
        <f>SUM(W460:W469)</f>
        <v>370633</v>
      </c>
      <c r="X470" s="229" t="s">
        <v>214</v>
      </c>
      <c r="Y470" s="230">
        <f>Y461</f>
        <v>79161</v>
      </c>
      <c r="Z470" s="242">
        <f>AA470/Y470</f>
        <v>4.682015133714835</v>
      </c>
      <c r="AA470" s="190">
        <f>SUM(AA460:AA469)</f>
        <v>370633</v>
      </c>
      <c r="AB470" s="229" t="s">
        <v>214</v>
      </c>
      <c r="AC470" s="230">
        <f>AC461</f>
        <v>79161</v>
      </c>
      <c r="AD470" s="242">
        <f>AE470/AC470</f>
        <v>4.682015133714835</v>
      </c>
      <c r="AE470" s="190">
        <f>SUM(AE460:AE469)</f>
        <v>370633</v>
      </c>
    </row>
    <row r="471" spans="1:31" ht="11.25">
      <c r="A471" s="112"/>
      <c r="B471" s="98"/>
      <c r="C471" s="98" t="s">
        <v>10</v>
      </c>
      <c r="D471" s="98"/>
      <c r="E471" s="98"/>
      <c r="F471" s="98"/>
      <c r="G471" s="98"/>
      <c r="H471" s="261"/>
      <c r="I471" s="189"/>
      <c r="J471" s="189"/>
      <c r="K471" s="487"/>
      <c r="L471" s="417"/>
      <c r="M471" s="230"/>
      <c r="N471" s="189"/>
      <c r="O471" s="45"/>
      <c r="P471" s="124"/>
      <c r="Q471" s="230"/>
      <c r="R471" s="192"/>
      <c r="S471" s="36"/>
      <c r="T471" s="124"/>
      <c r="U471" s="230"/>
      <c r="V471" s="192"/>
      <c r="W471" s="36"/>
      <c r="X471" s="229"/>
      <c r="Y471" s="230"/>
      <c r="Z471" s="192"/>
      <c r="AA471" s="36"/>
      <c r="AB471" s="229"/>
      <c r="AC471" s="230"/>
      <c r="AD471" s="192"/>
      <c r="AE471" s="36"/>
    </row>
    <row r="472" spans="1:31" ht="11.25">
      <c r="A472" s="112" t="s">
        <v>595</v>
      </c>
      <c r="B472" s="98"/>
      <c r="C472" s="98"/>
      <c r="D472" s="98" t="s">
        <v>17</v>
      </c>
      <c r="E472" s="98"/>
      <c r="F472" s="98"/>
      <c r="G472" s="98"/>
      <c r="H472" s="261"/>
      <c r="I472" s="189"/>
      <c r="J472" s="189"/>
      <c r="K472" s="487"/>
      <c r="L472" s="417"/>
      <c r="M472" s="230"/>
      <c r="N472" s="189"/>
      <c r="O472" s="45"/>
      <c r="P472" s="124"/>
      <c r="Q472" s="230"/>
      <c r="R472" s="100"/>
      <c r="S472" s="36"/>
      <c r="T472" s="124"/>
      <c r="U472" s="230"/>
      <c r="V472" s="100"/>
      <c r="W472" s="36"/>
      <c r="X472" s="229"/>
      <c r="Y472" s="230"/>
      <c r="Z472" s="100"/>
      <c r="AA472" s="36"/>
      <c r="AB472" s="229"/>
      <c r="AC472" s="230"/>
      <c r="AD472" s="100"/>
      <c r="AE472" s="36"/>
    </row>
    <row r="473" spans="1:31" ht="11.25">
      <c r="A473" s="112" t="s">
        <v>596</v>
      </c>
      <c r="B473" s="98"/>
      <c r="C473" s="98"/>
      <c r="D473" s="98" t="s">
        <v>18</v>
      </c>
      <c r="E473" s="98"/>
      <c r="F473" s="98"/>
      <c r="G473" s="98"/>
      <c r="H473" s="261">
        <f>1353+3139</f>
        <v>4492</v>
      </c>
      <c r="I473" s="189">
        <f>1082+2509</f>
        <v>3591</v>
      </c>
      <c r="J473" s="189">
        <f>630+1461</f>
        <v>2091</v>
      </c>
      <c r="K473" s="487">
        <f>H473+I473+J473</f>
        <v>10174</v>
      </c>
      <c r="L473" s="417" t="s">
        <v>214</v>
      </c>
      <c r="M473" s="230">
        <f>21000+48700</f>
        <v>69700</v>
      </c>
      <c r="N473" s="107">
        <f>O473/M473</f>
        <v>0.14596843615494978</v>
      </c>
      <c r="O473" s="45">
        <f>K473</f>
        <v>10174</v>
      </c>
      <c r="P473" s="124" t="s">
        <v>214</v>
      </c>
      <c r="Q473" s="230">
        <f>21000+48700</f>
        <v>69700</v>
      </c>
      <c r="R473" s="107">
        <f>S473/Q473</f>
        <v>0.14596843615494978</v>
      </c>
      <c r="S473" s="190">
        <f>O473</f>
        <v>10174</v>
      </c>
      <c r="T473" s="124" t="s">
        <v>214</v>
      </c>
      <c r="U473" s="230">
        <f>21000+48700</f>
        <v>69700</v>
      </c>
      <c r="V473" s="107">
        <v>0.31</v>
      </c>
      <c r="W473" s="190">
        <f>U473*V473</f>
        <v>21607</v>
      </c>
      <c r="X473" s="229" t="s">
        <v>214</v>
      </c>
      <c r="Y473" s="230">
        <v>69700</v>
      </c>
      <c r="Z473" s="242">
        <v>0.31</v>
      </c>
      <c r="AA473" s="190">
        <v>21607</v>
      </c>
      <c r="AB473" s="229" t="s">
        <v>214</v>
      </c>
      <c r="AC473" s="230">
        <v>69700</v>
      </c>
      <c r="AD473" s="242">
        <v>0.31</v>
      </c>
      <c r="AE473" s="190">
        <v>21607</v>
      </c>
    </row>
    <row r="474" spans="1:31" ht="11.25">
      <c r="A474" s="112"/>
      <c r="B474" s="98"/>
      <c r="C474" s="98" t="s">
        <v>15</v>
      </c>
      <c r="D474" s="98"/>
      <c r="E474" s="98"/>
      <c r="F474" s="98"/>
      <c r="G474" s="98"/>
      <c r="H474" s="261"/>
      <c r="I474" s="189"/>
      <c r="J474" s="189"/>
      <c r="K474" s="487"/>
      <c r="L474" s="417"/>
      <c r="M474" s="230"/>
      <c r="N474" s="189"/>
      <c r="O474" s="45"/>
      <c r="P474" s="124"/>
      <c r="Q474" s="230"/>
      <c r="R474" s="189"/>
      <c r="S474" s="190"/>
      <c r="T474" s="124"/>
      <c r="U474" s="230"/>
      <c r="V474" s="189"/>
      <c r="W474" s="190"/>
      <c r="X474" s="229"/>
      <c r="Y474" s="230"/>
      <c r="Z474" s="189"/>
      <c r="AA474" s="190"/>
      <c r="AB474" s="229"/>
      <c r="AC474" s="230"/>
      <c r="AD474" s="189"/>
      <c r="AE474" s="190"/>
    </row>
    <row r="475" spans="1:31" ht="11.25">
      <c r="A475" s="112" t="s">
        <v>597</v>
      </c>
      <c r="B475" s="98"/>
      <c r="C475" s="98"/>
      <c r="D475" s="98" t="s">
        <v>17</v>
      </c>
      <c r="E475" s="98"/>
      <c r="F475" s="98"/>
      <c r="G475" s="98"/>
      <c r="H475" s="261"/>
      <c r="I475" s="189"/>
      <c r="J475" s="189"/>
      <c r="K475" s="487"/>
      <c r="L475" s="417"/>
      <c r="M475" s="230"/>
      <c r="N475" s="189"/>
      <c r="O475" s="45"/>
      <c r="P475" s="124"/>
      <c r="Q475" s="230"/>
      <c r="R475" s="100"/>
      <c r="S475" s="36"/>
      <c r="T475" s="124"/>
      <c r="U475" s="230"/>
      <c r="V475" s="100"/>
      <c r="W475" s="36"/>
      <c r="X475" s="229"/>
      <c r="Y475" s="230"/>
      <c r="Z475" s="100"/>
      <c r="AA475" s="36"/>
      <c r="AB475" s="229"/>
      <c r="AC475" s="230"/>
      <c r="AD475" s="100"/>
      <c r="AE475" s="36"/>
    </row>
    <row r="476" spans="1:31" ht="11.25">
      <c r="A476" s="112" t="s">
        <v>598</v>
      </c>
      <c r="B476" s="98"/>
      <c r="C476" s="98"/>
      <c r="D476" s="98" t="s">
        <v>19</v>
      </c>
      <c r="E476" s="98"/>
      <c r="F476" s="98"/>
      <c r="G476" s="98"/>
      <c r="H476" s="229"/>
      <c r="I476" s="189"/>
      <c r="J476" s="189"/>
      <c r="K476" s="487"/>
      <c r="L476" s="417"/>
      <c r="M476" s="230"/>
      <c r="N476" s="189"/>
      <c r="O476" s="45"/>
      <c r="P476" s="124"/>
      <c r="Q476" s="230"/>
      <c r="R476" s="100"/>
      <c r="S476" s="36"/>
      <c r="T476" s="124"/>
      <c r="U476" s="230"/>
      <c r="V476" s="100"/>
      <c r="W476" s="36"/>
      <c r="X476" s="229"/>
      <c r="Y476" s="230"/>
      <c r="Z476" s="100"/>
      <c r="AA476" s="36"/>
      <c r="AB476" s="229"/>
      <c r="AC476" s="230"/>
      <c r="AD476" s="100"/>
      <c r="AE476" s="36"/>
    </row>
    <row r="477" spans="1:31" ht="11.25">
      <c r="A477" s="112"/>
      <c r="B477" s="98"/>
      <c r="C477" s="98" t="s">
        <v>20</v>
      </c>
      <c r="D477" s="98"/>
      <c r="E477" s="98"/>
      <c r="F477" s="98"/>
      <c r="G477" s="98"/>
      <c r="H477" s="261">
        <f>SUM(H471:H476)</f>
        <v>4492</v>
      </c>
      <c r="I477" s="189">
        <f>SUM(I471:I476)</f>
        <v>3591</v>
      </c>
      <c r="J477" s="189">
        <f>SUM(J471:J476)</f>
        <v>2091</v>
      </c>
      <c r="K477" s="487">
        <f>H477+I477+J477</f>
        <v>10174</v>
      </c>
      <c r="L477" s="417" t="s">
        <v>214</v>
      </c>
      <c r="M477" s="230">
        <f>M473</f>
        <v>69700</v>
      </c>
      <c r="N477" s="107">
        <f>O477/M477</f>
        <v>0.14596843615494978</v>
      </c>
      <c r="O477" s="45">
        <f>SUM(O471:O476)</f>
        <v>10174</v>
      </c>
      <c r="P477" s="124" t="s">
        <v>214</v>
      </c>
      <c r="Q477" s="230">
        <f>Q473</f>
        <v>69700</v>
      </c>
      <c r="R477" s="107">
        <f>S477/Q477</f>
        <v>0.14596843615494978</v>
      </c>
      <c r="S477" s="190">
        <f>SUM(S471:S476)</f>
        <v>10174</v>
      </c>
      <c r="T477" s="124" t="s">
        <v>214</v>
      </c>
      <c r="U477" s="230">
        <f>U473</f>
        <v>69700</v>
      </c>
      <c r="V477" s="107">
        <f>W477/U477</f>
        <v>0.31</v>
      </c>
      <c r="W477" s="190">
        <f>SUM(W471:W476)</f>
        <v>21607</v>
      </c>
      <c r="X477" s="229" t="s">
        <v>214</v>
      </c>
      <c r="Y477" s="230">
        <f>Y473</f>
        <v>69700</v>
      </c>
      <c r="Z477" s="242">
        <f>AA477/Y477</f>
        <v>0.31</v>
      </c>
      <c r="AA477" s="190">
        <f>SUM(AA471:AA476)</f>
        <v>21607</v>
      </c>
      <c r="AB477" s="229" t="s">
        <v>214</v>
      </c>
      <c r="AC477" s="230">
        <f>AC473</f>
        <v>69700</v>
      </c>
      <c r="AD477" s="242">
        <f>AE477/AC477</f>
        <v>0.31</v>
      </c>
      <c r="AE477" s="190">
        <f>SUM(AE471:AE476)</f>
        <v>21607</v>
      </c>
    </row>
    <row r="478" spans="1:31" ht="11.25">
      <c r="A478" s="112"/>
      <c r="B478" s="98" t="s">
        <v>293</v>
      </c>
      <c r="C478" s="98"/>
      <c r="D478" s="98"/>
      <c r="E478" s="98"/>
      <c r="F478" s="98"/>
      <c r="G478" s="98"/>
      <c r="H478" s="261">
        <f>H458+H459+H470+H477</f>
        <v>2782193</v>
      </c>
      <c r="I478" s="189">
        <f>I458+I459+I470+I477</f>
        <v>1337782</v>
      </c>
      <c r="J478" s="189">
        <f>J458+J459+J470+J477</f>
        <v>45801</v>
      </c>
      <c r="K478" s="487">
        <f>K458+K459+K470+K477</f>
        <v>4165776</v>
      </c>
      <c r="L478" s="417" t="s">
        <v>213</v>
      </c>
      <c r="M478" s="230">
        <f>M470</f>
        <v>79161</v>
      </c>
      <c r="N478" s="107">
        <f>O478/M478</f>
        <v>52.62409519839315</v>
      </c>
      <c r="O478" s="32">
        <f>O458+O459+O470+O477</f>
        <v>4165776</v>
      </c>
      <c r="P478" s="124" t="s">
        <v>213</v>
      </c>
      <c r="Q478" s="230">
        <f>Q470</f>
        <v>79161</v>
      </c>
      <c r="R478" s="107">
        <f>S478/Q478</f>
        <v>52.62409519839315</v>
      </c>
      <c r="S478" s="190">
        <f>S458+S459+S470+S477</f>
        <v>4165776</v>
      </c>
      <c r="T478" s="124" t="s">
        <v>213</v>
      </c>
      <c r="U478" s="230">
        <f>U470</f>
        <v>79161</v>
      </c>
      <c r="V478" s="107">
        <f>W478/U478</f>
        <v>53.49535756243605</v>
      </c>
      <c r="W478" s="190">
        <f>W458+W459+W470+W477</f>
        <v>4234746</v>
      </c>
      <c r="X478" s="229" t="s">
        <v>213</v>
      </c>
      <c r="Y478" s="230">
        <f>Y470</f>
        <v>79161</v>
      </c>
      <c r="Z478" s="242">
        <f>AA478/Y478</f>
        <v>53.49535756243605</v>
      </c>
      <c r="AA478" s="190">
        <f>AA458+AA459+AA470+AA477</f>
        <v>4234746</v>
      </c>
      <c r="AB478" s="229" t="s">
        <v>213</v>
      </c>
      <c r="AC478" s="230">
        <f>AC470</f>
        <v>79161</v>
      </c>
      <c r="AD478" s="242">
        <f>AE478/AC478</f>
        <v>53.49535756243605</v>
      </c>
      <c r="AE478" s="190">
        <f>AE458+AE459+AE470+AE477</f>
        <v>4234746</v>
      </c>
    </row>
    <row r="479" spans="1:31" ht="11.25">
      <c r="A479" s="112"/>
      <c r="B479" s="98"/>
      <c r="C479" s="98"/>
      <c r="D479" s="98"/>
      <c r="E479" s="98"/>
      <c r="F479" s="98"/>
      <c r="G479" s="98"/>
      <c r="H479" s="261"/>
      <c r="I479" s="189"/>
      <c r="J479" s="189"/>
      <c r="K479" s="487"/>
      <c r="L479" s="417"/>
      <c r="M479" s="230"/>
      <c r="N479" s="87"/>
      <c r="O479" s="45"/>
      <c r="P479" s="124"/>
      <c r="Q479" s="230"/>
      <c r="R479" s="87"/>
      <c r="S479" s="190"/>
      <c r="T479" s="191"/>
      <c r="U479" s="230"/>
      <c r="V479" s="189"/>
      <c r="W479" s="190"/>
      <c r="X479" s="229"/>
      <c r="Y479" s="230"/>
      <c r="Z479" s="189"/>
      <c r="AA479" s="190"/>
      <c r="AB479" s="229"/>
      <c r="AC479" s="230"/>
      <c r="AD479" s="189"/>
      <c r="AE479" s="190"/>
    </row>
    <row r="480" spans="1:31" ht="11.25">
      <c r="A480" s="97" t="s">
        <v>599</v>
      </c>
      <c r="B480" s="98" t="s">
        <v>349</v>
      </c>
      <c r="C480" s="98"/>
      <c r="D480" s="98"/>
      <c r="E480" s="98"/>
      <c r="F480" s="98"/>
      <c r="G480" s="98"/>
      <c r="H480" s="261"/>
      <c r="I480" s="189"/>
      <c r="J480" s="189"/>
      <c r="K480" s="487"/>
      <c r="L480" s="417"/>
      <c r="M480" s="230"/>
      <c r="N480" s="87"/>
      <c r="O480" s="45"/>
      <c r="P480" s="124"/>
      <c r="Q480" s="113"/>
      <c r="R480" s="87"/>
      <c r="S480" s="36"/>
      <c r="T480" s="191"/>
      <c r="U480" s="113"/>
      <c r="V480" s="189"/>
      <c r="W480" s="36"/>
      <c r="X480" s="229"/>
      <c r="Y480" s="113"/>
      <c r="Z480" s="189"/>
      <c r="AA480" s="36"/>
      <c r="AB480" s="229"/>
      <c r="AC480" s="113"/>
      <c r="AD480" s="189"/>
      <c r="AE480" s="36"/>
    </row>
    <row r="481" spans="1:31" ht="11.25">
      <c r="A481" s="97"/>
      <c r="B481" s="98"/>
      <c r="C481" s="98" t="s">
        <v>31</v>
      </c>
      <c r="D481" s="98"/>
      <c r="E481" s="98"/>
      <c r="F481" s="98"/>
      <c r="G481" s="98"/>
      <c r="H481" s="261"/>
      <c r="I481" s="189"/>
      <c r="J481" s="189"/>
      <c r="K481" s="480"/>
      <c r="L481" s="417"/>
      <c r="M481" s="230"/>
      <c r="N481" s="87"/>
      <c r="O481" s="45"/>
      <c r="P481" s="124"/>
      <c r="Q481" s="113"/>
      <c r="R481" s="87"/>
      <c r="S481" s="190"/>
      <c r="T481" s="191"/>
      <c r="U481" s="113"/>
      <c r="V481" s="189"/>
      <c r="W481" s="190"/>
      <c r="X481" s="229"/>
      <c r="Y481" s="113"/>
      <c r="Z481" s="189"/>
      <c r="AA481" s="190"/>
      <c r="AB481" s="229"/>
      <c r="AC481" s="113"/>
      <c r="AD481" s="189"/>
      <c r="AE481" s="190"/>
    </row>
    <row r="482" spans="1:31" ht="11.25">
      <c r="A482" s="97" t="s">
        <v>600</v>
      </c>
      <c r="B482" s="98"/>
      <c r="C482" s="98"/>
      <c r="D482" s="98" t="s">
        <v>177</v>
      </c>
      <c r="E482" s="98"/>
      <c r="F482" s="98"/>
      <c r="G482" s="98"/>
      <c r="H482" s="261">
        <f>1159+115880+6953+31230+260730+11588+146101+112775+5400+28970</f>
        <v>720786</v>
      </c>
      <c r="I482" s="189">
        <f>543+54280+3257+14628+122130+5428+67933+74142+13570</f>
        <v>355911</v>
      </c>
      <c r="J482" s="189">
        <v>0</v>
      </c>
      <c r="K482" s="487">
        <f>H482+I482+J482</f>
        <v>1076697</v>
      </c>
      <c r="L482" s="417" t="s">
        <v>208</v>
      </c>
      <c r="M482" s="230">
        <f>6+107+12</f>
        <v>125</v>
      </c>
      <c r="N482" s="87">
        <f>O482/M482</f>
        <v>8613.576</v>
      </c>
      <c r="O482" s="45">
        <f>K482</f>
        <v>1076697</v>
      </c>
      <c r="P482" s="124" t="s">
        <v>208</v>
      </c>
      <c r="Q482" s="230">
        <f>6+107+12</f>
        <v>125</v>
      </c>
      <c r="R482" s="87">
        <f>S482/Q482</f>
        <v>8613.576</v>
      </c>
      <c r="S482" s="190">
        <f>O482</f>
        <v>1076697</v>
      </c>
      <c r="T482" s="191" t="s">
        <v>208</v>
      </c>
      <c r="U482" s="230">
        <f>6+107+12</f>
        <v>125</v>
      </c>
      <c r="V482" s="189">
        <f>W482/U482</f>
        <v>8613.576</v>
      </c>
      <c r="W482" s="190">
        <f>S482</f>
        <v>1076697</v>
      </c>
      <c r="X482" s="229" t="s">
        <v>208</v>
      </c>
      <c r="Y482" s="230">
        <v>125</v>
      </c>
      <c r="Z482" s="189">
        <v>8613.576</v>
      </c>
      <c r="AA482" s="190">
        <v>1076697</v>
      </c>
      <c r="AB482" s="229" t="s">
        <v>208</v>
      </c>
      <c r="AC482" s="230">
        <v>125</v>
      </c>
      <c r="AD482" s="189">
        <v>8613.576</v>
      </c>
      <c r="AE482" s="190">
        <v>1076697</v>
      </c>
    </row>
    <row r="483" spans="1:31" ht="11.25">
      <c r="A483" s="97" t="s">
        <v>601</v>
      </c>
      <c r="B483" s="98"/>
      <c r="C483" s="98"/>
      <c r="D483" s="98" t="s">
        <v>178</v>
      </c>
      <c r="E483" s="98"/>
      <c r="F483" s="98"/>
      <c r="G483" s="98"/>
      <c r="H483" s="261">
        <v>91052</v>
      </c>
      <c r="I483" s="189">
        <v>42650</v>
      </c>
      <c r="J483" s="189">
        <v>0</v>
      </c>
      <c r="K483" s="487">
        <f>H483+I483+J483</f>
        <v>133702</v>
      </c>
      <c r="L483" s="417" t="s">
        <v>213</v>
      </c>
      <c r="M483" s="230">
        <v>1398</v>
      </c>
      <c r="N483" s="87">
        <f>O483/M483</f>
        <v>95.63805436337626</v>
      </c>
      <c r="O483" s="45">
        <f>K483</f>
        <v>133702</v>
      </c>
      <c r="P483" s="124" t="s">
        <v>213</v>
      </c>
      <c r="Q483" s="230">
        <v>1398</v>
      </c>
      <c r="R483" s="87">
        <f>S483/Q483</f>
        <v>95.63805436337626</v>
      </c>
      <c r="S483" s="190">
        <f>O483</f>
        <v>133702</v>
      </c>
      <c r="T483" s="191" t="s">
        <v>213</v>
      </c>
      <c r="U483" s="230">
        <v>1398</v>
      </c>
      <c r="V483" s="189">
        <f>W483/U483</f>
        <v>95.63805436337626</v>
      </c>
      <c r="W483" s="190">
        <f>S483</f>
        <v>133702</v>
      </c>
      <c r="X483" s="229" t="s">
        <v>213</v>
      </c>
      <c r="Y483" s="230">
        <v>1398</v>
      </c>
      <c r="Z483" s="189">
        <v>95.63805436337626</v>
      </c>
      <c r="AA483" s="190">
        <v>133702</v>
      </c>
      <c r="AB483" s="229" t="s">
        <v>213</v>
      </c>
      <c r="AC483" s="230">
        <v>1398</v>
      </c>
      <c r="AD483" s="189">
        <v>95.63805436337626</v>
      </c>
      <c r="AE483" s="190">
        <v>133702</v>
      </c>
    </row>
    <row r="484" spans="1:31" ht="11.25">
      <c r="A484" s="112"/>
      <c r="B484" s="98"/>
      <c r="C484" s="98" t="s">
        <v>10</v>
      </c>
      <c r="D484" s="98"/>
      <c r="E484" s="98"/>
      <c r="F484" s="98"/>
      <c r="G484" s="98"/>
      <c r="H484" s="261"/>
      <c r="I484" s="189"/>
      <c r="J484" s="189"/>
      <c r="K484" s="487"/>
      <c r="L484" s="417"/>
      <c r="M484" s="230"/>
      <c r="N484" s="189"/>
      <c r="O484" s="45"/>
      <c r="P484" s="124"/>
      <c r="Q484" s="230"/>
      <c r="R484" s="189"/>
      <c r="S484" s="190"/>
      <c r="T484" s="191"/>
      <c r="U484" s="230"/>
      <c r="V484" s="189"/>
      <c r="W484" s="190"/>
      <c r="X484" s="229"/>
      <c r="Y484" s="230"/>
      <c r="Z484" s="189"/>
      <c r="AA484" s="190"/>
      <c r="AB484" s="229"/>
      <c r="AC484" s="230"/>
      <c r="AD484" s="189"/>
      <c r="AE484" s="190"/>
    </row>
    <row r="485" spans="1:31" ht="11.25">
      <c r="A485" s="112" t="s">
        <v>602</v>
      </c>
      <c r="B485" s="98"/>
      <c r="C485" s="98"/>
      <c r="D485" s="98" t="s">
        <v>11</v>
      </c>
      <c r="E485" s="98"/>
      <c r="F485" s="98"/>
      <c r="G485" s="98"/>
      <c r="H485" s="261">
        <f>1829+1266+380+585+52+10623+7246+3357+4240+675+740+5710+4748+4551+1310</f>
        <v>47312</v>
      </c>
      <c r="I485" s="189">
        <f>2999+1854+408+17419+10609+3603+695+10959+8137</f>
        <v>56683</v>
      </c>
      <c r="J485" s="189">
        <v>0</v>
      </c>
      <c r="K485" s="487">
        <f>H485+I485+J485</f>
        <v>103995</v>
      </c>
      <c r="L485" s="417" t="s">
        <v>213</v>
      </c>
      <c r="M485" s="230">
        <f>38710+6500+249+34000</f>
        <v>79459</v>
      </c>
      <c r="N485" s="107">
        <f>O485/M485</f>
        <v>1.308788180067708</v>
      </c>
      <c r="O485" s="45">
        <f>K485</f>
        <v>103995</v>
      </c>
      <c r="P485" s="124" t="s">
        <v>213</v>
      </c>
      <c r="Q485" s="230">
        <f>38710+6500+249+34000</f>
        <v>79459</v>
      </c>
      <c r="R485" s="107">
        <f>S485/Q485</f>
        <v>1.308788180067708</v>
      </c>
      <c r="S485" s="190">
        <f>O485</f>
        <v>103995</v>
      </c>
      <c r="T485" s="191" t="s">
        <v>213</v>
      </c>
      <c r="U485" s="230">
        <f>38710+6500+249+34000</f>
        <v>79459</v>
      </c>
      <c r="V485" s="242">
        <f>W485/U485</f>
        <v>1.308788180067708</v>
      </c>
      <c r="W485" s="190">
        <f>S485</f>
        <v>103995</v>
      </c>
      <c r="X485" s="229" t="s">
        <v>213</v>
      </c>
      <c r="Y485" s="230">
        <v>79459</v>
      </c>
      <c r="Z485" s="242">
        <v>1.308788180067708</v>
      </c>
      <c r="AA485" s="190">
        <v>103995</v>
      </c>
      <c r="AB485" s="229" t="s">
        <v>213</v>
      </c>
      <c r="AC485" s="230">
        <v>79459</v>
      </c>
      <c r="AD485" s="242">
        <v>1.308788180067708</v>
      </c>
      <c r="AE485" s="190">
        <v>103995</v>
      </c>
    </row>
    <row r="486" spans="1:31" ht="11.25">
      <c r="A486" s="112" t="s">
        <v>603</v>
      </c>
      <c r="B486" s="98"/>
      <c r="C486" s="98"/>
      <c r="D486" s="98" t="s">
        <v>12</v>
      </c>
      <c r="E486" s="98"/>
      <c r="F486" s="98"/>
      <c r="G486" s="98"/>
      <c r="H486" s="261"/>
      <c r="I486" s="189"/>
      <c r="J486" s="189"/>
      <c r="K486" s="487"/>
      <c r="L486" s="417"/>
      <c r="M486" s="230"/>
      <c r="N486" s="189"/>
      <c r="O486" s="45"/>
      <c r="P486" s="124"/>
      <c r="Q486" s="230"/>
      <c r="R486" s="189"/>
      <c r="S486" s="190"/>
      <c r="T486" s="191"/>
      <c r="U486" s="230"/>
      <c r="V486" s="189"/>
      <c r="W486" s="190"/>
      <c r="X486" s="229"/>
      <c r="Y486" s="230"/>
      <c r="Z486" s="189"/>
      <c r="AA486" s="190"/>
      <c r="AB486" s="229"/>
      <c r="AC486" s="230"/>
      <c r="AD486" s="189"/>
      <c r="AE486" s="190"/>
    </row>
    <row r="487" spans="1:31" ht="11.25">
      <c r="A487" s="112" t="s">
        <v>604</v>
      </c>
      <c r="B487" s="98"/>
      <c r="C487" s="98"/>
      <c r="D487" s="98" t="s">
        <v>13</v>
      </c>
      <c r="E487" s="98"/>
      <c r="F487" s="98"/>
      <c r="G487" s="98"/>
      <c r="H487" s="261"/>
      <c r="I487" s="189"/>
      <c r="J487" s="189"/>
      <c r="K487" s="487"/>
      <c r="L487" s="417"/>
      <c r="M487" s="230"/>
      <c r="N487" s="189"/>
      <c r="O487" s="45"/>
      <c r="P487" s="124"/>
      <c r="Q487" s="230"/>
      <c r="R487" s="189"/>
      <c r="S487" s="190"/>
      <c r="T487" s="191"/>
      <c r="U487" s="230"/>
      <c r="V487" s="189"/>
      <c r="W487" s="190"/>
      <c r="X487" s="229"/>
      <c r="Y487" s="230"/>
      <c r="Z487" s="189"/>
      <c r="AA487" s="190"/>
      <c r="AB487" s="229"/>
      <c r="AC487" s="230"/>
      <c r="AD487" s="189"/>
      <c r="AE487" s="190"/>
    </row>
    <row r="488" spans="1:31" ht="11.25">
      <c r="A488" s="112" t="s">
        <v>605</v>
      </c>
      <c r="B488" s="98"/>
      <c r="C488" s="98"/>
      <c r="D488" s="98" t="s">
        <v>14</v>
      </c>
      <c r="E488" s="98"/>
      <c r="F488" s="98"/>
      <c r="G488" s="98"/>
      <c r="H488" s="261">
        <f>4546+1382</f>
        <v>5928</v>
      </c>
      <c r="I488" s="189">
        <f>5710+1872</f>
        <v>7582</v>
      </c>
      <c r="J488" s="189">
        <v>0</v>
      </c>
      <c r="K488" s="487">
        <f>H488+I488+J488</f>
        <v>13510</v>
      </c>
      <c r="L488" s="417" t="s">
        <v>213</v>
      </c>
      <c r="M488" s="230">
        <v>5700</v>
      </c>
      <c r="N488" s="107">
        <f>O488/M488</f>
        <v>2.3701754385964913</v>
      </c>
      <c r="O488" s="45">
        <f>K488</f>
        <v>13510</v>
      </c>
      <c r="P488" s="124" t="s">
        <v>213</v>
      </c>
      <c r="Q488" s="230">
        <v>5700</v>
      </c>
      <c r="R488" s="107">
        <f>S488/Q488</f>
        <v>2.3701754385964913</v>
      </c>
      <c r="S488" s="190">
        <f>O488</f>
        <v>13510</v>
      </c>
      <c r="T488" s="191" t="s">
        <v>213</v>
      </c>
      <c r="U488" s="230">
        <f>Q488*2</f>
        <v>11400</v>
      </c>
      <c r="V488" s="242">
        <f>R488*2</f>
        <v>4.7403508771929825</v>
      </c>
      <c r="W488" s="190">
        <f>U488*V488</f>
        <v>54040</v>
      </c>
      <c r="X488" s="229" t="s">
        <v>213</v>
      </c>
      <c r="Y488" s="230">
        <v>11400</v>
      </c>
      <c r="Z488" s="242">
        <v>4.7403508771929825</v>
      </c>
      <c r="AA488" s="190">
        <f>Y488*Z488</f>
        <v>54040</v>
      </c>
      <c r="AB488" s="229" t="s">
        <v>213</v>
      </c>
      <c r="AC488" s="230">
        <v>11400</v>
      </c>
      <c r="AD488" s="242">
        <v>4.7403508771929825</v>
      </c>
      <c r="AE488" s="190">
        <f>AC488*AD488</f>
        <v>54040</v>
      </c>
    </row>
    <row r="489" spans="1:31" ht="11.25">
      <c r="A489" s="112"/>
      <c r="B489" s="98"/>
      <c r="C489" s="98" t="s">
        <v>15</v>
      </c>
      <c r="D489" s="98"/>
      <c r="E489" s="98"/>
      <c r="F489" s="98"/>
      <c r="G489" s="98"/>
      <c r="H489" s="261"/>
      <c r="I489" s="189"/>
      <c r="J489" s="189"/>
      <c r="K489" s="487"/>
      <c r="L489" s="417"/>
      <c r="M489" s="230"/>
      <c r="N489" s="189"/>
      <c r="O489" s="45"/>
      <c r="P489" s="124"/>
      <c r="Q489" s="230"/>
      <c r="R489" s="189"/>
      <c r="S489" s="190"/>
      <c r="T489" s="191"/>
      <c r="U489" s="230"/>
      <c r="V489" s="189"/>
      <c r="W489" s="190"/>
      <c r="X489" s="229"/>
      <c r="Y489" s="230"/>
      <c r="Z489" s="189"/>
      <c r="AA489" s="190"/>
      <c r="AB489" s="229"/>
      <c r="AC489" s="230"/>
      <c r="AD489" s="189"/>
      <c r="AE489" s="190"/>
    </row>
    <row r="490" spans="1:31" ht="11.25">
      <c r="A490" s="112" t="s">
        <v>606</v>
      </c>
      <c r="B490" s="98"/>
      <c r="C490" s="98"/>
      <c r="D490" s="98" t="s">
        <v>11</v>
      </c>
      <c r="E490" s="98"/>
      <c r="F490" s="98"/>
      <c r="G490" s="98"/>
      <c r="H490" s="261"/>
      <c r="I490" s="189"/>
      <c r="J490" s="189"/>
      <c r="K490" s="487"/>
      <c r="L490" s="417"/>
      <c r="M490" s="230"/>
      <c r="N490" s="189"/>
      <c r="O490" s="45"/>
      <c r="P490" s="124"/>
      <c r="Q490" s="230"/>
      <c r="R490" s="192"/>
      <c r="S490" s="36"/>
      <c r="T490" s="191"/>
      <c r="U490" s="230"/>
      <c r="V490" s="192"/>
      <c r="W490" s="36"/>
      <c r="X490" s="229"/>
      <c r="Y490" s="230"/>
      <c r="Z490" s="192"/>
      <c r="AA490" s="36"/>
      <c r="AB490" s="229"/>
      <c r="AC490" s="230"/>
      <c r="AD490" s="192"/>
      <c r="AE490" s="36"/>
    </row>
    <row r="491" spans="1:31" ht="11.25">
      <c r="A491" s="112" t="s">
        <v>607</v>
      </c>
      <c r="B491" s="98"/>
      <c r="C491" s="98"/>
      <c r="D491" s="98" t="s">
        <v>12</v>
      </c>
      <c r="E491" s="98"/>
      <c r="F491" s="98"/>
      <c r="G491" s="98"/>
      <c r="H491" s="261"/>
      <c r="I491" s="189"/>
      <c r="J491" s="189"/>
      <c r="K491" s="487"/>
      <c r="L491" s="417"/>
      <c r="M491" s="230"/>
      <c r="N491" s="189"/>
      <c r="O491" s="45"/>
      <c r="P491" s="124"/>
      <c r="Q491" s="230"/>
      <c r="R491" s="100"/>
      <c r="S491" s="36"/>
      <c r="T491" s="191"/>
      <c r="U491" s="230"/>
      <c r="V491" s="100"/>
      <c r="W491" s="36"/>
      <c r="X491" s="229"/>
      <c r="Y491" s="230"/>
      <c r="Z491" s="100"/>
      <c r="AA491" s="36"/>
      <c r="AB491" s="229"/>
      <c r="AC491" s="230"/>
      <c r="AD491" s="100"/>
      <c r="AE491" s="36"/>
    </row>
    <row r="492" spans="1:31" ht="11.25">
      <c r="A492" s="112" t="s">
        <v>608</v>
      </c>
      <c r="B492" s="98"/>
      <c r="C492" s="98"/>
      <c r="D492" s="98" t="s">
        <v>13</v>
      </c>
      <c r="E492" s="98"/>
      <c r="F492" s="98"/>
      <c r="G492" s="98"/>
      <c r="H492" s="261"/>
      <c r="I492" s="189"/>
      <c r="J492" s="189"/>
      <c r="K492" s="487"/>
      <c r="L492" s="417"/>
      <c r="M492" s="230"/>
      <c r="N492" s="189"/>
      <c r="O492" s="45"/>
      <c r="P492" s="124"/>
      <c r="Q492" s="230"/>
      <c r="R492" s="192"/>
      <c r="S492" s="36"/>
      <c r="T492" s="191"/>
      <c r="U492" s="230"/>
      <c r="V492" s="192"/>
      <c r="W492" s="36"/>
      <c r="X492" s="229"/>
      <c r="Y492" s="230"/>
      <c r="Z492" s="192"/>
      <c r="AA492" s="36"/>
      <c r="AB492" s="229"/>
      <c r="AC492" s="230"/>
      <c r="AD492" s="192"/>
      <c r="AE492" s="36"/>
    </row>
    <row r="493" spans="1:31" ht="11.25">
      <c r="A493" s="112" t="s">
        <v>609</v>
      </c>
      <c r="B493" s="98"/>
      <c r="C493" s="98"/>
      <c r="D493" s="98" t="s">
        <v>14</v>
      </c>
      <c r="E493" s="98"/>
      <c r="F493" s="98"/>
      <c r="G493" s="98"/>
      <c r="H493" s="261"/>
      <c r="I493" s="189"/>
      <c r="J493" s="189"/>
      <c r="K493" s="487"/>
      <c r="L493" s="417"/>
      <c r="M493" s="230"/>
      <c r="N493" s="189"/>
      <c r="O493" s="45"/>
      <c r="P493" s="124"/>
      <c r="Q493" s="230"/>
      <c r="R493" s="192"/>
      <c r="S493" s="36"/>
      <c r="T493" s="191"/>
      <c r="U493" s="230"/>
      <c r="V493" s="192"/>
      <c r="W493" s="36"/>
      <c r="X493" s="229"/>
      <c r="Y493" s="230"/>
      <c r="Z493" s="192"/>
      <c r="AA493" s="36"/>
      <c r="AB493" s="229"/>
      <c r="AC493" s="230"/>
      <c r="AD493" s="192"/>
      <c r="AE493" s="36"/>
    </row>
    <row r="494" spans="1:31" ht="11.25">
      <c r="A494" s="112"/>
      <c r="B494" s="98"/>
      <c r="C494" s="98" t="s">
        <v>16</v>
      </c>
      <c r="D494" s="98"/>
      <c r="E494" s="98"/>
      <c r="F494" s="98"/>
      <c r="G494" s="98"/>
      <c r="H494" s="261">
        <f>SUM(H484:H493)</f>
        <v>53240</v>
      </c>
      <c r="I494" s="189">
        <f>SUM(I484:I493)</f>
        <v>64265</v>
      </c>
      <c r="J494" s="189">
        <f>SUM(J484:J493)</f>
        <v>0</v>
      </c>
      <c r="K494" s="487">
        <f>H494+I494+J494</f>
        <v>117505</v>
      </c>
      <c r="L494" s="417" t="s">
        <v>213</v>
      </c>
      <c r="M494" s="230">
        <f>M485</f>
        <v>79459</v>
      </c>
      <c r="N494" s="107">
        <f>O494/M494</f>
        <v>1.4788129727280737</v>
      </c>
      <c r="O494" s="45">
        <f>SUM(O484:O493)</f>
        <v>117505</v>
      </c>
      <c r="P494" s="124" t="s">
        <v>213</v>
      </c>
      <c r="Q494" s="230">
        <f>Q485</f>
        <v>79459</v>
      </c>
      <c r="R494" s="107">
        <f>S494/Q494</f>
        <v>1.4788129727280737</v>
      </c>
      <c r="S494" s="190">
        <f>SUM(S484:S493)</f>
        <v>117505</v>
      </c>
      <c r="T494" s="191" t="s">
        <v>213</v>
      </c>
      <c r="U494" s="230">
        <f>U485</f>
        <v>79459</v>
      </c>
      <c r="V494" s="242">
        <f>W494/U494</f>
        <v>1.9888873507091707</v>
      </c>
      <c r="W494" s="190">
        <f>SUM(W484:W493)</f>
        <v>158035</v>
      </c>
      <c r="X494" s="229" t="s">
        <v>213</v>
      </c>
      <c r="Y494" s="230">
        <f>Y485</f>
        <v>79459</v>
      </c>
      <c r="Z494" s="242">
        <f>AA494/Y494</f>
        <v>1.9888873507091707</v>
      </c>
      <c r="AA494" s="190">
        <f>SUM(AA484:AA493)</f>
        <v>158035</v>
      </c>
      <c r="AB494" s="229" t="s">
        <v>213</v>
      </c>
      <c r="AC494" s="230">
        <f>AC485</f>
        <v>79459</v>
      </c>
      <c r="AD494" s="242">
        <f>AE494/AC494</f>
        <v>1.9888873507091707</v>
      </c>
      <c r="AE494" s="190">
        <f>SUM(AE484:AE493)</f>
        <v>158035</v>
      </c>
    </row>
    <row r="495" spans="1:31" ht="11.25">
      <c r="A495" s="112"/>
      <c r="B495" s="98"/>
      <c r="C495" s="98" t="s">
        <v>10</v>
      </c>
      <c r="D495" s="98"/>
      <c r="E495" s="98"/>
      <c r="F495" s="98"/>
      <c r="G495" s="98"/>
      <c r="H495" s="261"/>
      <c r="I495" s="189"/>
      <c r="J495" s="189"/>
      <c r="K495" s="487"/>
      <c r="L495" s="417"/>
      <c r="M495" s="230"/>
      <c r="N495" s="189"/>
      <c r="O495" s="45"/>
      <c r="P495" s="124"/>
      <c r="Q495" s="230"/>
      <c r="R495" s="192"/>
      <c r="S495" s="36"/>
      <c r="T495" s="191"/>
      <c r="U495" s="230"/>
      <c r="V495" s="192"/>
      <c r="W495" s="36"/>
      <c r="X495" s="229"/>
      <c r="Y495" s="230"/>
      <c r="Z495" s="192"/>
      <c r="AA495" s="36"/>
      <c r="AB495" s="229"/>
      <c r="AC495" s="230"/>
      <c r="AD495" s="192"/>
      <c r="AE495" s="36"/>
    </row>
    <row r="496" spans="1:31" ht="11.25">
      <c r="A496" s="112" t="s">
        <v>610</v>
      </c>
      <c r="B496" s="98"/>
      <c r="C496" s="98"/>
      <c r="D496" s="98" t="s">
        <v>17</v>
      </c>
      <c r="E496" s="98"/>
      <c r="F496" s="98"/>
      <c r="G496" s="98"/>
      <c r="H496" s="261"/>
      <c r="I496" s="189"/>
      <c r="J496" s="189"/>
      <c r="K496" s="487"/>
      <c r="L496" s="417"/>
      <c r="M496" s="230"/>
      <c r="N496" s="189"/>
      <c r="O496" s="45"/>
      <c r="P496" s="124"/>
      <c r="Q496" s="230"/>
      <c r="R496" s="100"/>
      <c r="S496" s="36"/>
      <c r="T496" s="191"/>
      <c r="U496" s="230"/>
      <c r="V496" s="100"/>
      <c r="W496" s="36"/>
      <c r="X496" s="229"/>
      <c r="Y496" s="230"/>
      <c r="Z496" s="100"/>
      <c r="AA496" s="36"/>
      <c r="AB496" s="229"/>
      <c r="AC496" s="230"/>
      <c r="AD496" s="100"/>
      <c r="AE496" s="36"/>
    </row>
    <row r="497" spans="1:31" ht="11.25">
      <c r="A497" s="112" t="s">
        <v>611</v>
      </c>
      <c r="B497" s="98"/>
      <c r="C497" s="98"/>
      <c r="D497" s="98" t="s">
        <v>18</v>
      </c>
      <c r="E497" s="98"/>
      <c r="F497" s="98"/>
      <c r="G497" s="98"/>
      <c r="H497" s="261">
        <f>127+2090+2165</f>
        <v>4382</v>
      </c>
      <c r="I497" s="189">
        <f>87+1428+1730</f>
        <v>3245</v>
      </c>
      <c r="J497" s="189">
        <f>30+840+1020</f>
        <v>1890</v>
      </c>
      <c r="K497" s="487">
        <f>H497+I497+J497</f>
        <v>9517</v>
      </c>
      <c r="L497" s="417" t="s">
        <v>214</v>
      </c>
      <c r="M497" s="230">
        <f>34000+28000+1000</f>
        <v>63000</v>
      </c>
      <c r="N497" s="107">
        <f>O497/M497</f>
        <v>0.15106349206349207</v>
      </c>
      <c r="O497" s="45">
        <f>K497</f>
        <v>9517</v>
      </c>
      <c r="P497" s="124" t="s">
        <v>214</v>
      </c>
      <c r="Q497" s="230">
        <f>34000+28000+1000</f>
        <v>63000</v>
      </c>
      <c r="R497" s="107">
        <f>S497/Q497</f>
        <v>0.15106349206349207</v>
      </c>
      <c r="S497" s="190">
        <f>O497</f>
        <v>9517</v>
      </c>
      <c r="T497" s="191" t="s">
        <v>214</v>
      </c>
      <c r="U497" s="230">
        <f>34000+28000+1000</f>
        <v>63000</v>
      </c>
      <c r="V497" s="242">
        <v>0.31</v>
      </c>
      <c r="W497" s="190">
        <f>U497*V497</f>
        <v>19530</v>
      </c>
      <c r="X497" s="229" t="s">
        <v>214</v>
      </c>
      <c r="Y497" s="230">
        <v>63000</v>
      </c>
      <c r="Z497" s="242">
        <v>0.31</v>
      </c>
      <c r="AA497" s="190">
        <v>19530</v>
      </c>
      <c r="AB497" s="229" t="s">
        <v>214</v>
      </c>
      <c r="AC497" s="230">
        <v>63000</v>
      </c>
      <c r="AD497" s="242">
        <v>0.31</v>
      </c>
      <c r="AE497" s="190">
        <v>19530</v>
      </c>
    </row>
    <row r="498" spans="1:31" ht="11.25">
      <c r="A498" s="112"/>
      <c r="B498" s="98"/>
      <c r="C498" s="98" t="s">
        <v>15</v>
      </c>
      <c r="D498" s="98"/>
      <c r="E498" s="98"/>
      <c r="F498" s="98"/>
      <c r="G498" s="98"/>
      <c r="H498" s="261"/>
      <c r="I498" s="189"/>
      <c r="J498" s="189"/>
      <c r="K498" s="487"/>
      <c r="L498" s="417"/>
      <c r="M498" s="230"/>
      <c r="N498" s="189"/>
      <c r="O498" s="45"/>
      <c r="P498" s="124"/>
      <c r="Q498" s="230"/>
      <c r="R498" s="100"/>
      <c r="S498" s="36"/>
      <c r="T498" s="191"/>
      <c r="U498" s="230"/>
      <c r="V498" s="100"/>
      <c r="W498" s="36"/>
      <c r="X498" s="229"/>
      <c r="Y498" s="230"/>
      <c r="Z498" s="100"/>
      <c r="AA498" s="36"/>
      <c r="AB498" s="229"/>
      <c r="AC498" s="230"/>
      <c r="AD498" s="100"/>
      <c r="AE498" s="36"/>
    </row>
    <row r="499" spans="1:31" ht="11.25">
      <c r="A499" s="112" t="s">
        <v>612</v>
      </c>
      <c r="B499" s="98"/>
      <c r="C499" s="98"/>
      <c r="D499" s="98" t="s">
        <v>17</v>
      </c>
      <c r="E499" s="98"/>
      <c r="F499" s="98"/>
      <c r="G499" s="98"/>
      <c r="H499" s="261"/>
      <c r="I499" s="189"/>
      <c r="J499" s="189"/>
      <c r="K499" s="487"/>
      <c r="L499" s="417"/>
      <c r="M499" s="230"/>
      <c r="N499" s="189"/>
      <c r="O499" s="45"/>
      <c r="P499" s="124"/>
      <c r="Q499" s="230"/>
      <c r="R499" s="100"/>
      <c r="S499" s="36"/>
      <c r="T499" s="191"/>
      <c r="U499" s="230"/>
      <c r="V499" s="100"/>
      <c r="W499" s="36"/>
      <c r="X499" s="229"/>
      <c r="Y499" s="230"/>
      <c r="Z499" s="100"/>
      <c r="AA499" s="36"/>
      <c r="AB499" s="229"/>
      <c r="AC499" s="230"/>
      <c r="AD499" s="100"/>
      <c r="AE499" s="36"/>
    </row>
    <row r="500" spans="1:31" ht="11.25">
      <c r="A500" s="112" t="s">
        <v>613</v>
      </c>
      <c r="B500" s="98"/>
      <c r="C500" s="98"/>
      <c r="D500" s="98" t="s">
        <v>19</v>
      </c>
      <c r="E500" s="98"/>
      <c r="F500" s="98"/>
      <c r="G500" s="98"/>
      <c r="H500" s="229"/>
      <c r="I500" s="189"/>
      <c r="J500" s="189"/>
      <c r="K500" s="487"/>
      <c r="L500" s="417"/>
      <c r="M500" s="230"/>
      <c r="N500" s="189"/>
      <c r="O500" s="45"/>
      <c r="P500" s="124"/>
      <c r="Q500" s="230"/>
      <c r="R500" s="100"/>
      <c r="S500" s="36"/>
      <c r="T500" s="191"/>
      <c r="U500" s="230"/>
      <c r="V500" s="100"/>
      <c r="W500" s="36"/>
      <c r="X500" s="229"/>
      <c r="Y500" s="230"/>
      <c r="Z500" s="100"/>
      <c r="AA500" s="36"/>
      <c r="AB500" s="229"/>
      <c r="AC500" s="230"/>
      <c r="AD500" s="100"/>
      <c r="AE500" s="36"/>
    </row>
    <row r="501" spans="1:31" ht="11.25">
      <c r="A501" s="112"/>
      <c r="B501" s="98"/>
      <c r="C501" s="98" t="s">
        <v>20</v>
      </c>
      <c r="D501" s="98"/>
      <c r="E501" s="98"/>
      <c r="F501" s="98"/>
      <c r="G501" s="98"/>
      <c r="H501" s="261">
        <f>SUM(H495:H500)</f>
        <v>4382</v>
      </c>
      <c r="I501" s="189">
        <f>SUM(I495:I500)</f>
        <v>3245</v>
      </c>
      <c r="J501" s="189">
        <f>SUM(J495:J500)</f>
        <v>1890</v>
      </c>
      <c r="K501" s="487">
        <f>H501+I501+J501</f>
        <v>9517</v>
      </c>
      <c r="L501" s="417" t="s">
        <v>214</v>
      </c>
      <c r="M501" s="230">
        <f>M497</f>
        <v>63000</v>
      </c>
      <c r="N501" s="107">
        <f>O501/M501</f>
        <v>0.15106349206349207</v>
      </c>
      <c r="O501" s="45">
        <f>SUM(O495:O500)</f>
        <v>9517</v>
      </c>
      <c r="P501" s="124" t="s">
        <v>214</v>
      </c>
      <c r="Q501" s="230">
        <f>Q497</f>
        <v>63000</v>
      </c>
      <c r="R501" s="107">
        <f>S501/Q501</f>
        <v>0.15106349206349207</v>
      </c>
      <c r="S501" s="190">
        <f>SUM(S495:S500)</f>
        <v>9517</v>
      </c>
      <c r="T501" s="191" t="s">
        <v>214</v>
      </c>
      <c r="U501" s="230">
        <f>U497</f>
        <v>63000</v>
      </c>
      <c r="V501" s="242">
        <f>W501/U501</f>
        <v>0.31</v>
      </c>
      <c r="W501" s="190">
        <f>SUM(W495:W500)</f>
        <v>19530</v>
      </c>
      <c r="X501" s="229" t="s">
        <v>214</v>
      </c>
      <c r="Y501" s="230">
        <f>Y497</f>
        <v>63000</v>
      </c>
      <c r="Z501" s="242">
        <f>AA501/Y501</f>
        <v>0.31</v>
      </c>
      <c r="AA501" s="190">
        <f>SUM(AA495:AA500)</f>
        <v>19530</v>
      </c>
      <c r="AB501" s="229" t="s">
        <v>214</v>
      </c>
      <c r="AC501" s="230">
        <f>AC497</f>
        <v>63000</v>
      </c>
      <c r="AD501" s="242">
        <f>AE501/AC501</f>
        <v>0.31</v>
      </c>
      <c r="AE501" s="190">
        <f>SUM(AE495:AE500)</f>
        <v>19530</v>
      </c>
    </row>
    <row r="502" spans="1:31" ht="11.25">
      <c r="A502" s="112"/>
      <c r="B502" s="98" t="s">
        <v>310</v>
      </c>
      <c r="C502" s="98"/>
      <c r="D502" s="98"/>
      <c r="E502" s="98"/>
      <c r="F502" s="98"/>
      <c r="G502" s="98"/>
      <c r="H502" s="261">
        <f>H482+H483+H494+H501</f>
        <v>869460</v>
      </c>
      <c r="I502" s="189">
        <f>I482+I483+I494+I501</f>
        <v>466071</v>
      </c>
      <c r="J502" s="189">
        <f>J482+J483+J494+J501</f>
        <v>1890</v>
      </c>
      <c r="K502" s="487">
        <f>K482+K483+K494+K501</f>
        <v>1337421</v>
      </c>
      <c r="L502" s="417" t="s">
        <v>213</v>
      </c>
      <c r="M502" s="230">
        <f>M494</f>
        <v>79459</v>
      </c>
      <c r="N502" s="107">
        <f>O502/M502</f>
        <v>16.831586101008067</v>
      </c>
      <c r="O502" s="32">
        <f>O482+O483+O494+O501</f>
        <v>1337421</v>
      </c>
      <c r="P502" s="124" t="s">
        <v>213</v>
      </c>
      <c r="Q502" s="230">
        <f>Q494</f>
        <v>79459</v>
      </c>
      <c r="R502" s="107">
        <f>S502/Q502</f>
        <v>16.831586101008067</v>
      </c>
      <c r="S502" s="190">
        <f>S482+S483+S494+S501</f>
        <v>1337421</v>
      </c>
      <c r="T502" s="191" t="s">
        <v>213</v>
      </c>
      <c r="U502" s="230">
        <f>U494</f>
        <v>79459</v>
      </c>
      <c r="V502" s="242">
        <f>W502/U502</f>
        <v>17.467675153223674</v>
      </c>
      <c r="W502" s="190">
        <f>W482+W483+W494+W501</f>
        <v>1387964</v>
      </c>
      <c r="X502" s="229" t="s">
        <v>213</v>
      </c>
      <c r="Y502" s="230">
        <f>Y494</f>
        <v>79459</v>
      </c>
      <c r="Z502" s="242">
        <f>AA502/Y502</f>
        <v>17.467675153223674</v>
      </c>
      <c r="AA502" s="190">
        <f>AA482+AA483+AA494+AA501</f>
        <v>1387964</v>
      </c>
      <c r="AB502" s="229" t="s">
        <v>213</v>
      </c>
      <c r="AC502" s="230">
        <f>AC494</f>
        <v>79459</v>
      </c>
      <c r="AD502" s="242">
        <f>AE502/AC502</f>
        <v>17.467675153223674</v>
      </c>
      <c r="AE502" s="190">
        <f>AE482+AE483+AE494+AE501</f>
        <v>1387964</v>
      </c>
    </row>
    <row r="503" spans="1:31" ht="12" thickBot="1">
      <c r="A503" s="97"/>
      <c r="B503" s="98"/>
      <c r="C503" s="98"/>
      <c r="D503" s="98"/>
      <c r="E503" s="98"/>
      <c r="F503" s="98"/>
      <c r="G503" s="98"/>
      <c r="H503" s="261"/>
      <c r="I503" s="189"/>
      <c r="J503" s="189"/>
      <c r="K503" s="487"/>
      <c r="L503" s="417"/>
      <c r="M503" s="237"/>
      <c r="N503" s="189"/>
      <c r="O503" s="429"/>
      <c r="P503" s="439"/>
      <c r="Q503" s="237"/>
      <c r="R503" s="252"/>
      <c r="S503" s="342"/>
      <c r="T503" s="191"/>
      <c r="U503" s="230"/>
      <c r="V503" s="189"/>
      <c r="W503" s="190"/>
      <c r="X503" s="229"/>
      <c r="Y503" s="230"/>
      <c r="Z503" s="189"/>
      <c r="AA503" s="190"/>
      <c r="AB503" s="229"/>
      <c r="AC503" s="230"/>
      <c r="AD503" s="189"/>
      <c r="AE503" s="190"/>
    </row>
    <row r="504" spans="1:31" ht="12" thickTop="1">
      <c r="A504" s="125"/>
      <c r="B504" s="93" t="s">
        <v>192</v>
      </c>
      <c r="C504" s="93"/>
      <c r="D504" s="93"/>
      <c r="E504" s="93"/>
      <c r="F504" s="93"/>
      <c r="G504" s="93"/>
      <c r="H504" s="485">
        <f>H191+H215+H237+H261+H285+H309+H333+H357+H382+H406+H430+H454+H478+H502</f>
        <v>4768227</v>
      </c>
      <c r="I504" s="447">
        <f>I191+I215+I237+I261+I285+I309+I333+I357+I382+I406+I430+I454+I478+I502</f>
        <v>2743786</v>
      </c>
      <c r="J504" s="447">
        <f>J191+J215+J237+J261+J285+J309+J333+J357+J382+J406+J430+J454+J478+J502</f>
        <v>124942</v>
      </c>
      <c r="K504" s="486">
        <f>K191+K215+K237+K261+K285+K309+K333+K357+K382+K406+K430+K454+K478+K502</f>
        <v>7636955</v>
      </c>
      <c r="L504" s="416" t="s">
        <v>213</v>
      </c>
      <c r="M504" s="424">
        <f>M191+M215+M237+M261+M309+M382+M406+M430+M454+M478+M502</f>
        <v>806749</v>
      </c>
      <c r="N504" s="365">
        <f>O504/M504</f>
        <v>9.466333394897298</v>
      </c>
      <c r="O504" s="104">
        <f>O191+O215+O237+O261+O285+O309+O333+O357+O382+O406+O430+O454+O478+O502</f>
        <v>7636955</v>
      </c>
      <c r="P504" s="440" t="s">
        <v>213</v>
      </c>
      <c r="Q504" s="230">
        <f>Q191+Q215+Q237+Q261+Q309+Q382+Q406+Q430+Q454+Q478+Q502</f>
        <v>806749</v>
      </c>
      <c r="R504" s="400">
        <f>S504/Q504</f>
        <v>9.466333394897298</v>
      </c>
      <c r="S504" s="236">
        <f>S191+S215+S237+S261+S285+S309+S333+S357+S382+S406+S430+S454+S478+S502</f>
        <v>7636955</v>
      </c>
      <c r="T504" s="409" t="s">
        <v>213</v>
      </c>
      <c r="U504" s="239">
        <f>U191+U215+U237+U261+U309+U382+U406+U430+U454+U478+U502</f>
        <v>806749</v>
      </c>
      <c r="V504" s="448">
        <f>W504/U504</f>
        <v>10.053764925646018</v>
      </c>
      <c r="W504" s="241">
        <f>W191+W215+W237+W261+W285+W309+W333+W357+W382+W406+W430+W454+W478+W502</f>
        <v>8110864.8</v>
      </c>
      <c r="X504" s="238" t="s">
        <v>213</v>
      </c>
      <c r="Y504" s="239">
        <f>Y191+Y215+Y237+Y261+Y309+Y382+Y406+Y430+Y454+Y478+Y502</f>
        <v>806749</v>
      </c>
      <c r="Z504" s="448">
        <f>AA504/Y504</f>
        <v>10.053764925646018</v>
      </c>
      <c r="AA504" s="241">
        <f>AA191+AA215+AA237+AA261+AA285+AA309+AA333+AA357+AA382+AA406+AA430+AA454+AA478+AA502</f>
        <v>8110864.8</v>
      </c>
      <c r="AB504" s="238" t="s">
        <v>213</v>
      </c>
      <c r="AC504" s="239">
        <f>AC191+AC215+AC237+AC261+AC309+AC382+AC406+AC430+AC454+AC478+AC502</f>
        <v>806749</v>
      </c>
      <c r="AD504" s="448">
        <f>AE504/AC504</f>
        <v>10.053764925646018</v>
      </c>
      <c r="AE504" s="241">
        <f>AE191+AE215+AE237+AE261+AE285+AE309+AE333+AE357+AE382+AE406+AE430+AE454+AE478+AE502</f>
        <v>8110864.8</v>
      </c>
    </row>
    <row r="505" spans="1:31" ht="11.25">
      <c r="A505" s="97"/>
      <c r="H505" s="478"/>
      <c r="I505" s="421"/>
      <c r="J505" s="421"/>
      <c r="K505" s="480"/>
      <c r="L505" s="159"/>
      <c r="M505" s="331"/>
      <c r="N505" s="87"/>
      <c r="O505" s="32"/>
      <c r="P505" s="124"/>
      <c r="Q505" s="226"/>
      <c r="R505" s="189"/>
      <c r="S505" s="36"/>
      <c r="T505" s="191"/>
      <c r="U505" s="226"/>
      <c r="V505" s="113"/>
      <c r="W505" s="36"/>
      <c r="X505" s="229"/>
      <c r="Y505" s="226"/>
      <c r="Z505" s="113"/>
      <c r="AA505" s="36"/>
      <c r="AB505" s="229"/>
      <c r="AC505" s="226"/>
      <c r="AD505" s="113"/>
      <c r="AE505" s="36"/>
    </row>
    <row r="506" spans="1:31" ht="12">
      <c r="A506" s="97">
        <v>4</v>
      </c>
      <c r="B506" s="37" t="s">
        <v>32</v>
      </c>
      <c r="C506" s="37"/>
      <c r="D506" s="37"/>
      <c r="E506" s="37"/>
      <c r="F506" s="37"/>
      <c r="G506" s="98"/>
      <c r="H506" s="261"/>
      <c r="I506" s="189"/>
      <c r="J506" s="189"/>
      <c r="K506" s="487"/>
      <c r="L506" s="417"/>
      <c r="M506" s="230"/>
      <c r="N506" s="189"/>
      <c r="O506" s="45"/>
      <c r="P506" s="124"/>
      <c r="Q506" s="113"/>
      <c r="R506" s="189"/>
      <c r="S506" s="101"/>
      <c r="T506" s="191"/>
      <c r="U506" s="113"/>
      <c r="V506" s="113"/>
      <c r="W506" s="101"/>
      <c r="X506" s="229"/>
      <c r="Y506" s="113"/>
      <c r="Z506" s="113"/>
      <c r="AA506" s="101"/>
      <c r="AB506" s="229"/>
      <c r="AC506" s="113"/>
      <c r="AD506" s="113"/>
      <c r="AE506" s="101"/>
    </row>
    <row r="507" spans="1:31" ht="11.25">
      <c r="A507" s="97" t="s">
        <v>54</v>
      </c>
      <c r="B507" s="15" t="s">
        <v>102</v>
      </c>
      <c r="H507" s="478">
        <v>570</v>
      </c>
      <c r="I507" s="87">
        <v>156</v>
      </c>
      <c r="J507" s="87">
        <v>0</v>
      </c>
      <c r="K507" s="487">
        <f>H507+I507+J507</f>
        <v>726</v>
      </c>
      <c r="L507" s="418" t="s">
        <v>208</v>
      </c>
      <c r="M507" s="230">
        <v>1</v>
      </c>
      <c r="N507" s="189">
        <f>O507/M507</f>
        <v>726</v>
      </c>
      <c r="O507" s="45">
        <f>K507</f>
        <v>726</v>
      </c>
      <c r="P507" s="29" t="s">
        <v>208</v>
      </c>
      <c r="Q507" s="56">
        <v>1</v>
      </c>
      <c r="R507" s="87">
        <f>S507/Q507</f>
        <v>726</v>
      </c>
      <c r="S507" s="88">
        <f>O507</f>
        <v>726</v>
      </c>
      <c r="T507" s="26" t="s">
        <v>208</v>
      </c>
      <c r="U507" s="120">
        <v>1</v>
      </c>
      <c r="V507" s="87">
        <f>W507/U507</f>
        <v>726</v>
      </c>
      <c r="W507" s="88">
        <f>S507</f>
        <v>726</v>
      </c>
      <c r="X507" s="261" t="s">
        <v>208</v>
      </c>
      <c r="Y507" s="230">
        <v>1</v>
      </c>
      <c r="Z507" s="189">
        <f>AA507/Y507</f>
        <v>726</v>
      </c>
      <c r="AA507" s="190">
        <f>W507</f>
        <v>726</v>
      </c>
      <c r="AB507" s="261" t="s">
        <v>208</v>
      </c>
      <c r="AC507" s="230">
        <v>1</v>
      </c>
      <c r="AD507" s="189">
        <f>AE507/AC507</f>
        <v>726</v>
      </c>
      <c r="AE507" s="190">
        <f>AA507</f>
        <v>726</v>
      </c>
    </row>
    <row r="508" spans="1:31" ht="11.25">
      <c r="A508" s="97"/>
      <c r="H508" s="478"/>
      <c r="I508" s="87"/>
      <c r="J508" s="87"/>
      <c r="K508" s="480"/>
      <c r="L508" s="159"/>
      <c r="M508" s="56"/>
      <c r="N508" s="87"/>
      <c r="O508" s="32"/>
      <c r="P508" s="124"/>
      <c r="Q508" s="230"/>
      <c r="R508" s="189"/>
      <c r="S508" s="190"/>
      <c r="T508" s="191"/>
      <c r="U508" s="230"/>
      <c r="V508" s="189"/>
      <c r="W508" s="190"/>
      <c r="X508" s="229"/>
      <c r="Y508" s="230"/>
      <c r="Z508" s="189"/>
      <c r="AA508" s="190"/>
      <c r="AB508" s="229"/>
      <c r="AC508" s="230"/>
      <c r="AD508" s="189"/>
      <c r="AE508" s="190"/>
    </row>
    <row r="509" spans="1:31" ht="11.25">
      <c r="A509" s="97" t="s">
        <v>55</v>
      </c>
      <c r="B509" s="15" t="s">
        <v>101</v>
      </c>
      <c r="H509" s="478"/>
      <c r="I509" s="87"/>
      <c r="J509" s="87"/>
      <c r="K509" s="480"/>
      <c r="L509" s="159"/>
      <c r="M509" s="56"/>
      <c r="N509" s="87"/>
      <c r="O509" s="32"/>
      <c r="P509" s="124"/>
      <c r="Q509" s="230"/>
      <c r="R509" s="189"/>
      <c r="S509" s="190"/>
      <c r="T509" s="191"/>
      <c r="U509" s="230"/>
      <c r="V509" s="189"/>
      <c r="W509" s="190"/>
      <c r="X509" s="229"/>
      <c r="Y509" s="230"/>
      <c r="Z509" s="189"/>
      <c r="AA509" s="190"/>
      <c r="AB509" s="229"/>
      <c r="AC509" s="230"/>
      <c r="AD509" s="189"/>
      <c r="AE509" s="190"/>
    </row>
    <row r="510" spans="1:31" ht="12" thickBot="1">
      <c r="A510" s="97"/>
      <c r="H510" s="478"/>
      <c r="I510" s="87"/>
      <c r="J510" s="87"/>
      <c r="K510" s="480"/>
      <c r="L510" s="397"/>
      <c r="M510" s="332"/>
      <c r="N510" s="341"/>
      <c r="O510" s="379"/>
      <c r="P510" s="401"/>
      <c r="Q510" s="322"/>
      <c r="R510" s="189"/>
      <c r="S510" s="190"/>
      <c r="T510" s="408"/>
      <c r="U510" s="322"/>
      <c r="V510" s="382"/>
      <c r="W510" s="383"/>
      <c r="X510" s="244"/>
      <c r="Y510" s="322"/>
      <c r="Z510" s="382"/>
      <c r="AA510" s="383"/>
      <c r="AB510" s="244"/>
      <c r="AC510" s="322"/>
      <c r="AD510" s="382"/>
      <c r="AE510" s="383"/>
    </row>
    <row r="511" spans="1:31" ht="12" thickTop="1">
      <c r="A511" s="125"/>
      <c r="B511" s="93" t="s">
        <v>33</v>
      </c>
      <c r="C511" s="93"/>
      <c r="D511" s="93"/>
      <c r="E511" s="93"/>
      <c r="F511" s="93"/>
      <c r="G511" s="93"/>
      <c r="H511" s="485">
        <f>SUM(H506:H510)</f>
        <v>570</v>
      </c>
      <c r="I511" s="447">
        <f>SUM(I506:I510)</f>
        <v>156</v>
      </c>
      <c r="J511" s="447">
        <f>SUM(J506:J510)</f>
        <v>0</v>
      </c>
      <c r="K511" s="486">
        <f>SUM(K506:K510)</f>
        <v>726</v>
      </c>
      <c r="L511" s="416" t="s">
        <v>208</v>
      </c>
      <c r="M511" s="424">
        <v>1</v>
      </c>
      <c r="N511" s="240">
        <f>O511/M511</f>
        <v>726</v>
      </c>
      <c r="O511" s="104">
        <f>SUM(O506:O510)</f>
        <v>726</v>
      </c>
      <c r="P511" s="442" t="s">
        <v>208</v>
      </c>
      <c r="Q511" s="239">
        <v>1</v>
      </c>
      <c r="R511" s="240">
        <f>S511/Q511</f>
        <v>726</v>
      </c>
      <c r="S511" s="241">
        <f>SUM(S506:S510)</f>
        <v>726</v>
      </c>
      <c r="T511" s="409" t="s">
        <v>208</v>
      </c>
      <c r="U511" s="239">
        <v>1</v>
      </c>
      <c r="V511" s="240">
        <f>W511/U511</f>
        <v>726</v>
      </c>
      <c r="W511" s="241">
        <f>SUM(W506:W510)</f>
        <v>726</v>
      </c>
      <c r="X511" s="238" t="s">
        <v>208</v>
      </c>
      <c r="Y511" s="239">
        <v>1</v>
      </c>
      <c r="Z511" s="240">
        <f>AA511/Y511</f>
        <v>726</v>
      </c>
      <c r="AA511" s="241">
        <f>SUM(AA506:AA510)</f>
        <v>726</v>
      </c>
      <c r="AB511" s="238" t="s">
        <v>208</v>
      </c>
      <c r="AC511" s="239">
        <v>1</v>
      </c>
      <c r="AD511" s="240">
        <f>AE511/AC511</f>
        <v>726</v>
      </c>
      <c r="AE511" s="241">
        <f>SUM(AE506:AE510)</f>
        <v>726</v>
      </c>
    </row>
    <row r="512" spans="1:31" ht="11.25">
      <c r="A512" s="97"/>
      <c r="H512" s="478"/>
      <c r="I512" s="87"/>
      <c r="J512" s="87"/>
      <c r="K512" s="480"/>
      <c r="L512" s="159"/>
      <c r="M512" s="56"/>
      <c r="N512" s="87"/>
      <c r="O512" s="32"/>
      <c r="P512" s="124"/>
      <c r="Q512" s="113"/>
      <c r="R512" s="189"/>
      <c r="S512" s="36"/>
      <c r="T512" s="191"/>
      <c r="U512" s="113"/>
      <c r="V512" s="189"/>
      <c r="W512" s="36"/>
      <c r="X512" s="229"/>
      <c r="Y512" s="113"/>
      <c r="Z512" s="100"/>
      <c r="AA512" s="36"/>
      <c r="AB512" s="229"/>
      <c r="AC512" s="113"/>
      <c r="AD512" s="100"/>
      <c r="AE512" s="36"/>
    </row>
    <row r="513" spans="1:31" ht="12">
      <c r="A513" s="97">
        <v>5</v>
      </c>
      <c r="B513" s="35" t="s">
        <v>34</v>
      </c>
      <c r="C513" s="35"/>
      <c r="D513" s="35"/>
      <c r="E513" s="35"/>
      <c r="F513" s="35"/>
      <c r="G513" s="35"/>
      <c r="H513" s="488"/>
      <c r="I513" s="489"/>
      <c r="J513" s="489"/>
      <c r="K513" s="490"/>
      <c r="L513" s="417"/>
      <c r="M513" s="230"/>
      <c r="N513" s="189"/>
      <c r="O513" s="45"/>
      <c r="P513" s="124"/>
      <c r="Q513" s="113"/>
      <c r="R513" s="189"/>
      <c r="S513" s="36"/>
      <c r="T513" s="191"/>
      <c r="U513" s="113"/>
      <c r="V513" s="189"/>
      <c r="W513" s="36"/>
      <c r="X513" s="229"/>
      <c r="Y513" s="113"/>
      <c r="Z513" s="113"/>
      <c r="AA513" s="36"/>
      <c r="AB513" s="229"/>
      <c r="AC513" s="113"/>
      <c r="AD513" s="113"/>
      <c r="AE513" s="36"/>
    </row>
    <row r="514" spans="1:99" s="336" customFormat="1" ht="11.25">
      <c r="A514" s="346" t="s">
        <v>57</v>
      </c>
      <c r="B514" s="221" t="s">
        <v>232</v>
      </c>
      <c r="C514" s="221"/>
      <c r="D514" s="221"/>
      <c r="E514" s="221"/>
      <c r="F514" s="221"/>
      <c r="G514" s="221"/>
      <c r="H514" s="261">
        <v>6294</v>
      </c>
      <c r="I514" s="189">
        <v>0</v>
      </c>
      <c r="J514" s="189">
        <v>1200</v>
      </c>
      <c r="K514" s="487">
        <f>H514+I514+J514</f>
        <v>7494</v>
      </c>
      <c r="L514" s="418" t="s">
        <v>208</v>
      </c>
      <c r="M514" s="230">
        <v>6</v>
      </c>
      <c r="N514" s="189">
        <f>O514/M514</f>
        <v>1249</v>
      </c>
      <c r="O514" s="45">
        <f>K514</f>
        <v>7494</v>
      </c>
      <c r="P514" s="99" t="s">
        <v>208</v>
      </c>
      <c r="Q514" s="230">
        <v>6</v>
      </c>
      <c r="R514" s="189">
        <f>S514/Q514</f>
        <v>1249</v>
      </c>
      <c r="S514" s="190">
        <f>O514</f>
        <v>7494</v>
      </c>
      <c r="T514" s="402" t="s">
        <v>208</v>
      </c>
      <c r="U514" s="230">
        <v>6</v>
      </c>
      <c r="V514" s="189">
        <f>W514/U514</f>
        <v>1249</v>
      </c>
      <c r="W514" s="190">
        <f>S514</f>
        <v>7494</v>
      </c>
      <c r="X514" s="261" t="s">
        <v>208</v>
      </c>
      <c r="Y514" s="230">
        <v>6</v>
      </c>
      <c r="Z514" s="189">
        <f>AA514/Y514</f>
        <v>1249</v>
      </c>
      <c r="AA514" s="190">
        <f>W514</f>
        <v>7494</v>
      </c>
      <c r="AB514" s="261" t="s">
        <v>208</v>
      </c>
      <c r="AC514" s="230">
        <v>6</v>
      </c>
      <c r="AD514" s="189">
        <f>AE514/AC514</f>
        <v>1249</v>
      </c>
      <c r="AE514" s="190">
        <f>AA514</f>
        <v>7494</v>
      </c>
      <c r="AF514" s="221"/>
      <c r="AG514" s="221"/>
      <c r="AH514" s="221"/>
      <c r="AI514" s="221"/>
      <c r="AJ514" s="221"/>
      <c r="AK514" s="221"/>
      <c r="AL514" s="221"/>
      <c r="AM514" s="221"/>
      <c r="AN514" s="221"/>
      <c r="AO514" s="221"/>
      <c r="AP514" s="221"/>
      <c r="AQ514" s="221"/>
      <c r="AR514" s="221"/>
      <c r="AS514" s="221"/>
      <c r="AT514" s="221"/>
      <c r="AU514" s="221"/>
      <c r="AV514" s="221"/>
      <c r="AW514" s="221"/>
      <c r="AX514" s="221"/>
      <c r="AY514" s="221"/>
      <c r="AZ514" s="221"/>
      <c r="BA514" s="221"/>
      <c r="BB514" s="221"/>
      <c r="BC514" s="221"/>
      <c r="BD514" s="221"/>
      <c r="BE514" s="221"/>
      <c r="BF514" s="221"/>
      <c r="BG514" s="221"/>
      <c r="BH514" s="221"/>
      <c r="BI514" s="221"/>
      <c r="BJ514" s="221"/>
      <c r="BK514" s="221"/>
      <c r="BL514" s="221"/>
      <c r="BM514" s="221"/>
      <c r="BN514" s="221"/>
      <c r="BO514" s="221"/>
      <c r="BP514" s="221"/>
      <c r="BQ514" s="221"/>
      <c r="BR514" s="221"/>
      <c r="BS514" s="221"/>
      <c r="BT514" s="221"/>
      <c r="BU514" s="221"/>
      <c r="BV514" s="221"/>
      <c r="BW514" s="221"/>
      <c r="BX514" s="221"/>
      <c r="BY514" s="221"/>
      <c r="BZ514" s="221"/>
      <c r="CA514" s="221"/>
      <c r="CB514" s="221"/>
      <c r="CC514" s="221"/>
      <c r="CD514" s="221"/>
      <c r="CE514" s="221"/>
      <c r="CF514" s="221"/>
      <c r="CG514" s="221"/>
      <c r="CH514" s="221"/>
      <c r="CI514" s="221"/>
      <c r="CJ514" s="221"/>
      <c r="CK514" s="221"/>
      <c r="CL514" s="221"/>
      <c r="CM514" s="221"/>
      <c r="CN514" s="221"/>
      <c r="CO514" s="221"/>
      <c r="CP514" s="221"/>
      <c r="CQ514" s="221"/>
      <c r="CR514" s="221"/>
      <c r="CS514" s="221"/>
      <c r="CT514" s="221"/>
      <c r="CU514" s="221"/>
    </row>
    <row r="515" spans="1:31" ht="11.25">
      <c r="A515" s="97" t="s">
        <v>58</v>
      </c>
      <c r="B515" s="15" t="s">
        <v>35</v>
      </c>
      <c r="H515" s="478">
        <v>4218</v>
      </c>
      <c r="I515" s="87">
        <v>0</v>
      </c>
      <c r="J515" s="87">
        <v>800</v>
      </c>
      <c r="K515" s="487">
        <f>H515+I515+J515</f>
        <v>5018</v>
      </c>
      <c r="L515" s="159" t="s">
        <v>208</v>
      </c>
      <c r="M515" s="56">
        <v>4</v>
      </c>
      <c r="N515" s="189">
        <f>O515/M515</f>
        <v>1254.5</v>
      </c>
      <c r="O515" s="45">
        <f>K515</f>
        <v>5018</v>
      </c>
      <c r="P515" s="89" t="s">
        <v>208</v>
      </c>
      <c r="Q515" s="56">
        <v>4</v>
      </c>
      <c r="R515" s="189">
        <f>S515/Q515</f>
        <v>1254.5</v>
      </c>
      <c r="S515" s="190">
        <f>O515</f>
        <v>5018</v>
      </c>
      <c r="T515" s="191" t="s">
        <v>208</v>
      </c>
      <c r="U515" s="230">
        <v>4</v>
      </c>
      <c r="V515" s="189">
        <f>W515/U515</f>
        <v>1254.5</v>
      </c>
      <c r="W515" s="190">
        <f>S515</f>
        <v>5018</v>
      </c>
      <c r="X515" s="229" t="s">
        <v>208</v>
      </c>
      <c r="Y515" s="230">
        <v>4</v>
      </c>
      <c r="Z515" s="189">
        <f>AA515/Y515</f>
        <v>1254.5</v>
      </c>
      <c r="AA515" s="190">
        <f>W515</f>
        <v>5018</v>
      </c>
      <c r="AB515" s="229" t="s">
        <v>208</v>
      </c>
      <c r="AC515" s="230">
        <v>4</v>
      </c>
      <c r="AD515" s="189">
        <f>AE515/AC515</f>
        <v>1254.5</v>
      </c>
      <c r="AE515" s="190">
        <f>AA515</f>
        <v>5018</v>
      </c>
    </row>
    <row r="516" spans="1:31" ht="11.25">
      <c r="A516" s="97" t="s">
        <v>59</v>
      </c>
      <c r="B516" s="15" t="s">
        <v>36</v>
      </c>
      <c r="H516" s="478"/>
      <c r="I516" s="87"/>
      <c r="J516" s="87"/>
      <c r="K516" s="487">
        <f>H516+I516+J516</f>
        <v>0</v>
      </c>
      <c r="L516" s="159"/>
      <c r="M516" s="56"/>
      <c r="N516" s="87"/>
      <c r="O516" s="32"/>
      <c r="P516" s="124"/>
      <c r="Q516" s="113"/>
      <c r="R516" s="189"/>
      <c r="S516" s="36"/>
      <c r="T516" s="191"/>
      <c r="U516" s="113"/>
      <c r="V516" s="189"/>
      <c r="W516" s="36"/>
      <c r="X516" s="229"/>
      <c r="Y516" s="113"/>
      <c r="Z516" s="189"/>
      <c r="AA516" s="36"/>
      <c r="AB516" s="229"/>
      <c r="AC516" s="113"/>
      <c r="AD516" s="189"/>
      <c r="AE516" s="36"/>
    </row>
    <row r="517" spans="1:31" ht="11.25">
      <c r="A517" s="97" t="s">
        <v>60</v>
      </c>
      <c r="B517" s="15" t="s">
        <v>37</v>
      </c>
      <c r="H517" s="478"/>
      <c r="I517" s="87"/>
      <c r="J517" s="87"/>
      <c r="K517" s="480"/>
      <c r="L517" s="159"/>
      <c r="M517" s="56"/>
      <c r="N517" s="87"/>
      <c r="O517" s="32"/>
      <c r="P517" s="124"/>
      <c r="Q517" s="113"/>
      <c r="R517" s="189"/>
      <c r="S517" s="36"/>
      <c r="T517" s="191"/>
      <c r="U517" s="113"/>
      <c r="V517" s="189"/>
      <c r="W517" s="36"/>
      <c r="X517" s="229"/>
      <c r="Y517" s="113"/>
      <c r="Z517" s="189"/>
      <c r="AA517" s="36"/>
      <c r="AB517" s="229"/>
      <c r="AC517" s="113"/>
      <c r="AD517" s="189"/>
      <c r="AE517" s="36"/>
    </row>
    <row r="518" spans="1:31" ht="11.25">
      <c r="A518" s="97" t="s">
        <v>110</v>
      </c>
      <c r="B518" s="15" t="s">
        <v>38</v>
      </c>
      <c r="H518" s="478"/>
      <c r="I518" s="87"/>
      <c r="J518" s="87"/>
      <c r="K518" s="480"/>
      <c r="L518" s="159"/>
      <c r="M518" s="56"/>
      <c r="N518" s="87"/>
      <c r="O518" s="32"/>
      <c r="P518" s="124"/>
      <c r="Q518" s="113"/>
      <c r="R518" s="189"/>
      <c r="S518" s="36"/>
      <c r="T518" s="191"/>
      <c r="U518" s="113"/>
      <c r="V518" s="189"/>
      <c r="W518" s="36"/>
      <c r="X518" s="229"/>
      <c r="Y518" s="113"/>
      <c r="Z518" s="189"/>
      <c r="AA518" s="36"/>
      <c r="AB518" s="229"/>
      <c r="AC518" s="113"/>
      <c r="AD518" s="189"/>
      <c r="AE518" s="36"/>
    </row>
    <row r="519" spans="1:31" ht="11.25">
      <c r="A519" s="97" t="s">
        <v>111</v>
      </c>
      <c r="B519" s="15" t="s">
        <v>39</v>
      </c>
      <c r="H519" s="478"/>
      <c r="I519" s="87"/>
      <c r="J519" s="87"/>
      <c r="K519" s="480"/>
      <c r="L519" s="159"/>
      <c r="M519" s="56"/>
      <c r="N519" s="87"/>
      <c r="O519" s="32"/>
      <c r="P519" s="124"/>
      <c r="Q519" s="113"/>
      <c r="R519" s="189"/>
      <c r="S519" s="36"/>
      <c r="T519" s="191" t="s">
        <v>639</v>
      </c>
      <c r="U519" s="113">
        <v>10</v>
      </c>
      <c r="V519" s="189">
        <f>W519/U519</f>
        <v>20000</v>
      </c>
      <c r="W519" s="36">
        <v>200000</v>
      </c>
      <c r="X519" s="229" t="s">
        <v>639</v>
      </c>
      <c r="Y519" s="113">
        <v>50</v>
      </c>
      <c r="Z519" s="189">
        <v>20000</v>
      </c>
      <c r="AA519" s="36">
        <f>Y519*Z519</f>
        <v>1000000</v>
      </c>
      <c r="AB519" s="229" t="s">
        <v>639</v>
      </c>
      <c r="AC519" s="113">
        <v>100</v>
      </c>
      <c r="AD519" s="189">
        <v>20000</v>
      </c>
      <c r="AE519" s="36">
        <f>AC519*AD519</f>
        <v>2000000</v>
      </c>
    </row>
    <row r="520" spans="1:31" ht="12" thickBot="1">
      <c r="A520" s="105" t="s">
        <v>112</v>
      </c>
      <c r="B520" s="91" t="s">
        <v>40</v>
      </c>
      <c r="C520" s="91"/>
      <c r="D520" s="91"/>
      <c r="E520" s="91"/>
      <c r="F520" s="91"/>
      <c r="G520" s="91"/>
      <c r="H520" s="483"/>
      <c r="I520" s="87"/>
      <c r="J520" s="87"/>
      <c r="K520" s="484"/>
      <c r="L520" s="414"/>
      <c r="M520" s="423"/>
      <c r="N520" s="339"/>
      <c r="O520" s="92"/>
      <c r="P520" s="439"/>
      <c r="Q520" s="116"/>
      <c r="R520" s="189"/>
      <c r="S520" s="194"/>
      <c r="T520" s="406"/>
      <c r="U520" s="116"/>
      <c r="V520" s="252"/>
      <c r="W520" s="194"/>
      <c r="X520" s="232"/>
      <c r="Y520" s="116"/>
      <c r="Z520" s="252"/>
      <c r="AA520" s="194"/>
      <c r="AB520" s="232"/>
      <c r="AC520" s="116"/>
      <c r="AD520" s="252"/>
      <c r="AE520" s="194"/>
    </row>
    <row r="521" spans="1:31" ht="12" thickTop="1">
      <c r="A521" s="106"/>
      <c r="B521" s="93" t="s">
        <v>41</v>
      </c>
      <c r="C521" s="93"/>
      <c r="D521" s="93"/>
      <c r="E521" s="93"/>
      <c r="F521" s="93"/>
      <c r="G521" s="93"/>
      <c r="H521" s="491">
        <f>SUM(H513:H520)</f>
        <v>10512</v>
      </c>
      <c r="I521" s="447">
        <f>SUM(I513:I520)</f>
        <v>0</v>
      </c>
      <c r="J521" s="447">
        <f>SUM(J513:J520)</f>
        <v>2000</v>
      </c>
      <c r="K521" s="492">
        <f>SUM(K513:K520)</f>
        <v>12512</v>
      </c>
      <c r="L521" s="415" t="s">
        <v>208</v>
      </c>
      <c r="M521" s="425">
        <f>SUM(M513:M520)</f>
        <v>10</v>
      </c>
      <c r="N521" s="343">
        <f>O521/M521</f>
        <v>1251.2</v>
      </c>
      <c r="O521" s="94">
        <f>SUM(O513:O520)</f>
        <v>12512</v>
      </c>
      <c r="P521" s="443" t="s">
        <v>208</v>
      </c>
      <c r="Q521" s="425">
        <f>SUM(Q513:Q520)</f>
        <v>10</v>
      </c>
      <c r="R521" s="447">
        <f>S521/Q521</f>
        <v>1251.2</v>
      </c>
      <c r="S521" s="344">
        <f>SUM(S513:S520)</f>
        <v>12512</v>
      </c>
      <c r="T521" s="407" t="s">
        <v>208</v>
      </c>
      <c r="U521" s="235">
        <f>SUM(U513:U520)</f>
        <v>20</v>
      </c>
      <c r="V521" s="247">
        <f>W521/U521</f>
        <v>10625.6</v>
      </c>
      <c r="W521" s="236">
        <f>SUM(W513:W520)</f>
        <v>212512</v>
      </c>
      <c r="X521" s="234" t="s">
        <v>208</v>
      </c>
      <c r="Y521" s="235">
        <f>SUM(Y513:Y520)</f>
        <v>60</v>
      </c>
      <c r="Z521" s="247">
        <f>AA521/Y521</f>
        <v>16875.2</v>
      </c>
      <c r="AA521" s="236">
        <f>SUM(AA513:AA520)</f>
        <v>1012512</v>
      </c>
      <c r="AB521" s="234" t="s">
        <v>208</v>
      </c>
      <c r="AC521" s="235">
        <f>SUM(AC513:AC520)</f>
        <v>110</v>
      </c>
      <c r="AD521" s="247">
        <f>AE521/AC521</f>
        <v>18295.563636363637</v>
      </c>
      <c r="AE521" s="236">
        <f>SUM(AE513:AE520)</f>
        <v>2012512</v>
      </c>
    </row>
    <row r="522" spans="1:31" ht="12" thickBot="1">
      <c r="A522" s="105"/>
      <c r="B522" s="91"/>
      <c r="C522" s="91"/>
      <c r="D522" s="91"/>
      <c r="E522" s="91"/>
      <c r="F522" s="91"/>
      <c r="G522" s="91"/>
      <c r="H522" s="483"/>
      <c r="I522" s="339"/>
      <c r="J522" s="339"/>
      <c r="K522" s="493"/>
      <c r="L522" s="414"/>
      <c r="M522" s="423"/>
      <c r="N522" s="339"/>
      <c r="O522" s="92"/>
      <c r="P522" s="444"/>
      <c r="Q522" s="423"/>
      <c r="R522" s="339"/>
      <c r="S522" s="340"/>
      <c r="T522" s="406"/>
      <c r="U522" s="237"/>
      <c r="V522" s="252"/>
      <c r="W522" s="342"/>
      <c r="X522" s="232"/>
      <c r="Y522" s="237"/>
      <c r="Z522" s="252"/>
      <c r="AA522" s="342"/>
      <c r="AB522" s="232"/>
      <c r="AC522" s="237"/>
      <c r="AD522" s="252"/>
      <c r="AE522" s="342"/>
    </row>
    <row r="523" spans="1:31" ht="12" thickTop="1">
      <c r="A523" s="106"/>
      <c r="B523" s="9" t="s">
        <v>614</v>
      </c>
      <c r="C523" s="9"/>
      <c r="D523" s="114"/>
      <c r="E523" s="114"/>
      <c r="F523" s="114"/>
      <c r="G523" s="114"/>
      <c r="H523" s="491">
        <f>H83+H169+H504+H511+H521</f>
        <v>6225222</v>
      </c>
      <c r="I523" s="447">
        <f>I83+I169+I504+I511+I521</f>
        <v>3963009</v>
      </c>
      <c r="J523" s="447">
        <f>J83+J169+J504+J511+J521</f>
        <v>1040431</v>
      </c>
      <c r="K523" s="492">
        <f>K83+K169+K504+K511+K521</f>
        <v>11228662</v>
      </c>
      <c r="L523" s="415" t="s">
        <v>213</v>
      </c>
      <c r="M523" s="425">
        <f>M83+M169+M504</f>
        <v>1240709</v>
      </c>
      <c r="N523" s="375">
        <f>O523/M523</f>
        <v>9.050197911033127</v>
      </c>
      <c r="O523" s="94">
        <f>O83+O169+O504+O511+O521</f>
        <v>11228662</v>
      </c>
      <c r="P523" s="443" t="s">
        <v>213</v>
      </c>
      <c r="Q523" s="425">
        <f>Q83+Q169+Q504</f>
        <v>1240709</v>
      </c>
      <c r="R523" s="375">
        <f>S523/Q523</f>
        <v>9.050197911033127</v>
      </c>
      <c r="S523" s="412">
        <f>S83+S169+S504+S511+S521</f>
        <v>11228662</v>
      </c>
      <c r="T523" s="407" t="s">
        <v>213</v>
      </c>
      <c r="U523" s="95">
        <f>U83+U169+U504</f>
        <v>1271709</v>
      </c>
      <c r="V523" s="400">
        <f>W523/U523</f>
        <v>9.904346277332316</v>
      </c>
      <c r="W523" s="236">
        <f>W83+W169+W504+W511+W521</f>
        <v>12595446.3</v>
      </c>
      <c r="X523" s="234" t="s">
        <v>213</v>
      </c>
      <c r="Y523" s="235">
        <f>Y83+Y169+Y504</f>
        <v>1271709</v>
      </c>
      <c r="Z523" s="400">
        <f>AA523/Y523</f>
        <v>10.533421010624286</v>
      </c>
      <c r="AA523" s="236">
        <f>AA83+AA169+AA504+AA511+AA521</f>
        <v>13395446.3</v>
      </c>
      <c r="AB523" s="234" t="s">
        <v>213</v>
      </c>
      <c r="AC523" s="235">
        <f>AC83+AC169+AC504</f>
        <v>1271709</v>
      </c>
      <c r="AD523" s="400">
        <f>AE523/AC523</f>
        <v>11.319764427239251</v>
      </c>
      <c r="AE523" s="236">
        <f>AE83+AE169+AE504+AE511+AE521</f>
        <v>14395446.3</v>
      </c>
    </row>
    <row r="524" spans="1:31" ht="11.25">
      <c r="A524" s="97"/>
      <c r="H524" s="478"/>
      <c r="I524" s="87"/>
      <c r="J524" s="87"/>
      <c r="K524" s="479"/>
      <c r="L524" s="159"/>
      <c r="M524" s="56"/>
      <c r="N524" s="87"/>
      <c r="O524" s="32"/>
      <c r="P524" s="124"/>
      <c r="Q524" s="113"/>
      <c r="R524" s="189"/>
      <c r="S524" s="36"/>
      <c r="T524" s="191"/>
      <c r="U524" s="113"/>
      <c r="V524" s="113"/>
      <c r="W524" s="36"/>
      <c r="X524" s="229"/>
      <c r="Y524" s="113"/>
      <c r="Z524" s="113"/>
      <c r="AA524" s="36"/>
      <c r="AB524" s="229"/>
      <c r="AC524" s="113"/>
      <c r="AD524" s="113"/>
      <c r="AE524" s="36"/>
    </row>
    <row r="525" spans="1:31" ht="12">
      <c r="A525" s="97">
        <v>6</v>
      </c>
      <c r="B525" s="21" t="s">
        <v>42</v>
      </c>
      <c r="C525" s="21"/>
      <c r="H525" s="478"/>
      <c r="I525" s="87"/>
      <c r="J525" s="87"/>
      <c r="K525" s="480"/>
      <c r="L525" s="159"/>
      <c r="M525" s="56"/>
      <c r="N525" s="87"/>
      <c r="O525" s="32"/>
      <c r="P525" s="124"/>
      <c r="Q525" s="113"/>
      <c r="R525" s="189"/>
      <c r="S525" s="101"/>
      <c r="T525" s="191"/>
      <c r="U525" s="113"/>
      <c r="V525" s="113"/>
      <c r="W525" s="101"/>
      <c r="X525" s="229"/>
      <c r="Y525" s="113"/>
      <c r="Z525" s="113"/>
      <c r="AA525" s="101"/>
      <c r="AB525" s="229"/>
      <c r="AC525" s="113"/>
      <c r="AD525" s="113"/>
      <c r="AE525" s="101"/>
    </row>
    <row r="526" spans="1:31" ht="11.25">
      <c r="A526" s="97" t="s">
        <v>61</v>
      </c>
      <c r="B526" s="22" t="s">
        <v>43</v>
      </c>
      <c r="C526" s="22"/>
      <c r="G526" s="184">
        <v>0.05</v>
      </c>
      <c r="H526" s="478">
        <f>$H$523*G526</f>
        <v>311261.10000000003</v>
      </c>
      <c r="I526" s="87">
        <f>$I$523*G526</f>
        <v>198150.45</v>
      </c>
      <c r="J526" s="87">
        <f>$J$523*G526</f>
        <v>52021.55</v>
      </c>
      <c r="K526" s="480">
        <f>H526+I526+J526</f>
        <v>561433.1000000001</v>
      </c>
      <c r="L526" s="398"/>
      <c r="M526" s="56"/>
      <c r="N526" s="87"/>
      <c r="O526" s="32">
        <f>K526</f>
        <v>561433.1000000001</v>
      </c>
      <c r="P526" s="321">
        <v>0.05</v>
      </c>
      <c r="Q526" s="189"/>
      <c r="R526" s="189"/>
      <c r="S526" s="190">
        <f>$S$523*(P526)</f>
        <v>561433.1</v>
      </c>
      <c r="T526" s="410">
        <v>0.05</v>
      </c>
      <c r="U526" s="189"/>
      <c r="V526" s="189"/>
      <c r="W526" s="190">
        <f>$W$523*(T526)</f>
        <v>629772.3150000001</v>
      </c>
      <c r="X526" s="410">
        <v>0.05</v>
      </c>
      <c r="Y526" s="189"/>
      <c r="Z526" s="189"/>
      <c r="AA526" s="190">
        <f>$AA$523*(X526)</f>
        <v>669772.3150000001</v>
      </c>
      <c r="AB526" s="410">
        <v>0.05</v>
      </c>
      <c r="AC526" s="189"/>
      <c r="AD526" s="189"/>
      <c r="AE526" s="190">
        <f>$AE$523*(AB526)</f>
        <v>719772.3150000001</v>
      </c>
    </row>
    <row r="527" spans="1:31" ht="11.25">
      <c r="A527" s="97" t="s">
        <v>62</v>
      </c>
      <c r="B527" s="15" t="s">
        <v>44</v>
      </c>
      <c r="G527" s="184">
        <v>0.02</v>
      </c>
      <c r="H527" s="478">
        <f aca="true" t="shared" si="0" ref="H527:H532">$H$523*G527</f>
        <v>124504.44</v>
      </c>
      <c r="I527" s="87">
        <f aca="true" t="shared" si="1" ref="I527:I532">$I$523*G527</f>
        <v>79260.18000000001</v>
      </c>
      <c r="J527" s="87">
        <f aca="true" t="shared" si="2" ref="J527:J532">$J$523*G527</f>
        <v>20808.62</v>
      </c>
      <c r="K527" s="480">
        <f aca="true" t="shared" si="3" ref="K527:K532">H527+I527+J527</f>
        <v>224573.24</v>
      </c>
      <c r="L527" s="398"/>
      <c r="M527" s="56"/>
      <c r="N527" s="87"/>
      <c r="O527" s="32">
        <f aca="true" t="shared" si="4" ref="O527:O532">K527</f>
        <v>224573.24</v>
      </c>
      <c r="P527" s="300">
        <v>0.05</v>
      </c>
      <c r="Q527" s="189"/>
      <c r="R527" s="189"/>
      <c r="S527" s="190">
        <f aca="true" t="shared" si="5" ref="S527:S533">$S$523*(P527)</f>
        <v>561433.1</v>
      </c>
      <c r="T527" s="410">
        <v>0.05</v>
      </c>
      <c r="U527" s="189"/>
      <c r="V527" s="189"/>
      <c r="W527" s="190">
        <f aca="true" t="shared" si="6" ref="W527:W533">$W$523*(T527)</f>
        <v>629772.3150000001</v>
      </c>
      <c r="X527" s="410">
        <v>0.05</v>
      </c>
      <c r="Y527" s="189"/>
      <c r="Z527" s="189"/>
      <c r="AA527" s="190">
        <f aca="true" t="shared" si="7" ref="AA527:AA533">$AA$523*(X527)</f>
        <v>669772.3150000001</v>
      </c>
      <c r="AB527" s="410">
        <v>0.05</v>
      </c>
      <c r="AC527" s="189"/>
      <c r="AD527" s="189"/>
      <c r="AE527" s="190">
        <f aca="true" t="shared" si="8" ref="AE527:AE533">$AE$523*(AB527)</f>
        <v>719772.3150000001</v>
      </c>
    </row>
    <row r="528" spans="1:31" ht="11.25">
      <c r="A528" s="97" t="s">
        <v>63</v>
      </c>
      <c r="B528" s="15" t="s">
        <v>45</v>
      </c>
      <c r="G528" s="98"/>
      <c r="H528" s="478"/>
      <c r="I528" s="87"/>
      <c r="J528" s="87"/>
      <c r="K528" s="480"/>
      <c r="L528" s="398"/>
      <c r="M528" s="56"/>
      <c r="N528" s="87"/>
      <c r="O528" s="32"/>
      <c r="P528" s="300">
        <v>0.03</v>
      </c>
      <c r="Q528" s="189"/>
      <c r="R528" s="189"/>
      <c r="S528" s="190">
        <f t="shared" si="5"/>
        <v>336859.86</v>
      </c>
      <c r="T528" s="410">
        <v>0.03</v>
      </c>
      <c r="U528" s="189"/>
      <c r="V528" s="189"/>
      <c r="W528" s="190">
        <f t="shared" si="6"/>
        <v>377863.389</v>
      </c>
      <c r="X528" s="410">
        <v>0.03</v>
      </c>
      <c r="Y528" s="189"/>
      <c r="Z528" s="189"/>
      <c r="AA528" s="190">
        <f t="shared" si="7"/>
        <v>401863.389</v>
      </c>
      <c r="AB528" s="410">
        <v>0.03</v>
      </c>
      <c r="AC528" s="189"/>
      <c r="AD528" s="189"/>
      <c r="AE528" s="190">
        <f t="shared" si="8"/>
        <v>431863.389</v>
      </c>
    </row>
    <row r="529" spans="1:31" ht="11.25">
      <c r="A529" s="97" t="s">
        <v>64</v>
      </c>
      <c r="B529" s="15" t="s">
        <v>46</v>
      </c>
      <c r="G529" s="98"/>
      <c r="H529" s="478"/>
      <c r="I529" s="87"/>
      <c r="J529" s="87"/>
      <c r="K529" s="480"/>
      <c r="L529" s="398"/>
      <c r="M529" s="56"/>
      <c r="N529" s="87"/>
      <c r="O529" s="32"/>
      <c r="P529" s="300">
        <v>0.05</v>
      </c>
      <c r="Q529" s="189"/>
      <c r="R529" s="189"/>
      <c r="S529" s="190">
        <f t="shared" si="5"/>
        <v>561433.1</v>
      </c>
      <c r="T529" s="410">
        <v>0.05</v>
      </c>
      <c r="U529" s="189"/>
      <c r="V529" s="189"/>
      <c r="W529" s="190">
        <f t="shared" si="6"/>
        <v>629772.3150000001</v>
      </c>
      <c r="X529" s="410">
        <v>0.05</v>
      </c>
      <c r="Y529" s="189"/>
      <c r="Z529" s="189"/>
      <c r="AA529" s="190">
        <f t="shared" si="7"/>
        <v>669772.3150000001</v>
      </c>
      <c r="AB529" s="410">
        <v>0.05</v>
      </c>
      <c r="AC529" s="189"/>
      <c r="AD529" s="189"/>
      <c r="AE529" s="190">
        <f t="shared" si="8"/>
        <v>719772.3150000001</v>
      </c>
    </row>
    <row r="530" spans="1:31" ht="11.25">
      <c r="A530" s="97" t="s">
        <v>65</v>
      </c>
      <c r="B530" s="15" t="s">
        <v>47</v>
      </c>
      <c r="G530" s="184">
        <v>0.05</v>
      </c>
      <c r="H530" s="478">
        <f t="shared" si="0"/>
        <v>311261.10000000003</v>
      </c>
      <c r="I530" s="87">
        <f t="shared" si="1"/>
        <v>198150.45</v>
      </c>
      <c r="J530" s="87">
        <f t="shared" si="2"/>
        <v>52021.55</v>
      </c>
      <c r="K530" s="480">
        <f t="shared" si="3"/>
        <v>561433.1000000001</v>
      </c>
      <c r="L530" s="398"/>
      <c r="M530" s="56"/>
      <c r="N530" s="87"/>
      <c r="O530" s="32">
        <f t="shared" si="4"/>
        <v>561433.1000000001</v>
      </c>
      <c r="P530" s="300">
        <v>0.15</v>
      </c>
      <c r="Q530" s="189"/>
      <c r="R530" s="189"/>
      <c r="S530" s="190">
        <f t="shared" si="5"/>
        <v>1684299.3</v>
      </c>
      <c r="T530" s="410">
        <v>0.15</v>
      </c>
      <c r="U530" s="189"/>
      <c r="V530" s="189"/>
      <c r="W530" s="190">
        <f t="shared" si="6"/>
        <v>1889316.945</v>
      </c>
      <c r="X530" s="410">
        <v>0.15</v>
      </c>
      <c r="Y530" s="189"/>
      <c r="Z530" s="189"/>
      <c r="AA530" s="190">
        <f t="shared" si="7"/>
        <v>2009316.945</v>
      </c>
      <c r="AB530" s="410">
        <v>0.15</v>
      </c>
      <c r="AC530" s="189"/>
      <c r="AD530" s="189"/>
      <c r="AE530" s="190">
        <f t="shared" si="8"/>
        <v>2159316.945</v>
      </c>
    </row>
    <row r="531" spans="1:31" ht="11.25">
      <c r="A531" s="97" t="s">
        <v>158</v>
      </c>
      <c r="B531" s="15" t="s">
        <v>48</v>
      </c>
      <c r="G531" s="184">
        <v>0.05</v>
      </c>
      <c r="H531" s="478">
        <f t="shared" si="0"/>
        <v>311261.10000000003</v>
      </c>
      <c r="I531" s="87">
        <f t="shared" si="1"/>
        <v>198150.45</v>
      </c>
      <c r="J531" s="87">
        <f t="shared" si="2"/>
        <v>52021.55</v>
      </c>
      <c r="K531" s="480">
        <f t="shared" si="3"/>
        <v>561433.1000000001</v>
      </c>
      <c r="L531" s="398"/>
      <c r="M531" s="56"/>
      <c r="N531" s="87"/>
      <c r="O531" s="32">
        <f t="shared" si="4"/>
        <v>561433.1000000001</v>
      </c>
      <c r="P531" s="321">
        <v>0.1</v>
      </c>
      <c r="Q531" s="189"/>
      <c r="R531" s="189"/>
      <c r="S531" s="190">
        <f t="shared" si="5"/>
        <v>1122866.2</v>
      </c>
      <c r="T531" s="410">
        <v>0.1</v>
      </c>
      <c r="U531" s="189"/>
      <c r="V531" s="189"/>
      <c r="W531" s="190">
        <f t="shared" si="6"/>
        <v>1259544.6300000001</v>
      </c>
      <c r="X531" s="410">
        <v>0.1</v>
      </c>
      <c r="Y531" s="189"/>
      <c r="Z531" s="189"/>
      <c r="AA531" s="190">
        <f t="shared" si="7"/>
        <v>1339544.6300000001</v>
      </c>
      <c r="AB531" s="410">
        <v>0.1</v>
      </c>
      <c r="AC531" s="189"/>
      <c r="AD531" s="189"/>
      <c r="AE531" s="190">
        <f t="shared" si="8"/>
        <v>1439544.6300000001</v>
      </c>
    </row>
    <row r="532" spans="1:31" ht="11.25">
      <c r="A532" s="97" t="s">
        <v>615</v>
      </c>
      <c r="B532" s="15" t="s">
        <v>49</v>
      </c>
      <c r="G532" s="184">
        <v>0.03</v>
      </c>
      <c r="H532" s="478">
        <f t="shared" si="0"/>
        <v>186756.66</v>
      </c>
      <c r="I532" s="87">
        <f t="shared" si="1"/>
        <v>118890.26999999999</v>
      </c>
      <c r="J532" s="87">
        <f t="shared" si="2"/>
        <v>31212.93</v>
      </c>
      <c r="K532" s="480">
        <f t="shared" si="3"/>
        <v>336859.86</v>
      </c>
      <c r="L532" s="398"/>
      <c r="M532" s="56"/>
      <c r="N532" s="87"/>
      <c r="O532" s="32">
        <f t="shared" si="4"/>
        <v>336859.86</v>
      </c>
      <c r="P532" s="300">
        <v>0.08</v>
      </c>
      <c r="Q532" s="189"/>
      <c r="R532" s="189"/>
      <c r="S532" s="190">
        <f t="shared" si="5"/>
        <v>898292.96</v>
      </c>
      <c r="T532" s="410">
        <v>0.08</v>
      </c>
      <c r="U532" s="189"/>
      <c r="V532" s="189"/>
      <c r="W532" s="190">
        <f t="shared" si="6"/>
        <v>1007635.704</v>
      </c>
      <c r="X532" s="410">
        <v>0.08</v>
      </c>
      <c r="Y532" s="189"/>
      <c r="Z532" s="189"/>
      <c r="AA532" s="190">
        <f t="shared" si="7"/>
        <v>1071635.7040000001</v>
      </c>
      <c r="AB532" s="410">
        <v>0.08</v>
      </c>
      <c r="AC532" s="189"/>
      <c r="AD532" s="189"/>
      <c r="AE532" s="190">
        <f t="shared" si="8"/>
        <v>1151635.7040000001</v>
      </c>
    </row>
    <row r="533" spans="1:31" ht="11.25">
      <c r="A533" s="97" t="s">
        <v>616</v>
      </c>
      <c r="B533" s="15" t="s">
        <v>195</v>
      </c>
      <c r="G533" s="115"/>
      <c r="H533" s="478"/>
      <c r="I533" s="87"/>
      <c r="J533" s="87"/>
      <c r="K533" s="480"/>
      <c r="L533" s="398"/>
      <c r="M533" s="56"/>
      <c r="N533" s="87"/>
      <c r="O533" s="32"/>
      <c r="P533" s="300">
        <v>0.03</v>
      </c>
      <c r="Q533" s="189"/>
      <c r="R533" s="189"/>
      <c r="S533" s="190">
        <f t="shared" si="5"/>
        <v>336859.86</v>
      </c>
      <c r="T533" s="410">
        <v>0.03</v>
      </c>
      <c r="U533" s="189"/>
      <c r="V533" s="189"/>
      <c r="W533" s="190">
        <f t="shared" si="6"/>
        <v>377863.389</v>
      </c>
      <c r="X533" s="410">
        <v>0.03</v>
      </c>
      <c r="Y533" s="189"/>
      <c r="Z533" s="189"/>
      <c r="AA533" s="190">
        <f t="shared" si="7"/>
        <v>401863.389</v>
      </c>
      <c r="AB533" s="410">
        <v>0.03</v>
      </c>
      <c r="AC533" s="189"/>
      <c r="AD533" s="189"/>
      <c r="AE533" s="190">
        <f t="shared" si="8"/>
        <v>431863.389</v>
      </c>
    </row>
    <row r="534" spans="1:31" ht="12" thickBot="1">
      <c r="A534" s="105"/>
      <c r="B534" s="91"/>
      <c r="C534" s="91"/>
      <c r="D534" s="91"/>
      <c r="E534" s="91"/>
      <c r="F534" s="91"/>
      <c r="G534" s="91"/>
      <c r="H534" s="483"/>
      <c r="I534" s="339"/>
      <c r="J534" s="339"/>
      <c r="K534" s="484"/>
      <c r="L534" s="414"/>
      <c r="M534" s="423"/>
      <c r="N534" s="339"/>
      <c r="O534" s="92"/>
      <c r="P534" s="439"/>
      <c r="Q534" s="116"/>
      <c r="R534" s="250"/>
      <c r="S534" s="194"/>
      <c r="T534" s="406"/>
      <c r="U534" s="116"/>
      <c r="V534" s="250"/>
      <c r="W534" s="194"/>
      <c r="X534" s="232"/>
      <c r="Y534" s="116"/>
      <c r="Z534" s="250"/>
      <c r="AA534" s="194"/>
      <c r="AB534" s="232"/>
      <c r="AC534" s="116"/>
      <c r="AD534" s="250"/>
      <c r="AE534" s="194"/>
    </row>
    <row r="535" spans="1:31" ht="12" thickTop="1">
      <c r="A535" s="166"/>
      <c r="B535" s="103" t="s">
        <v>50</v>
      </c>
      <c r="C535" s="93"/>
      <c r="D535" s="93"/>
      <c r="G535" s="104"/>
      <c r="H535" s="485">
        <f>SUM(H525:H533)</f>
        <v>1245044.4000000001</v>
      </c>
      <c r="I535" s="447">
        <f>SUM(I525:I533)</f>
        <v>792601.8</v>
      </c>
      <c r="J535" s="447">
        <f>SUM(J525:J533)</f>
        <v>208086.2</v>
      </c>
      <c r="K535" s="486">
        <f>SUM(K525:K533)</f>
        <v>2245732.4000000004</v>
      </c>
      <c r="L535" s="159"/>
      <c r="M535" s="56"/>
      <c r="N535" s="167">
        <f>O535/O523</f>
        <v>0.20000000000000004</v>
      </c>
      <c r="O535" s="104">
        <f>SUM(O525:O533)</f>
        <v>2245732.4000000004</v>
      </c>
      <c r="P535" s="442"/>
      <c r="Q535" s="166"/>
      <c r="R535" s="167">
        <f>S535/S523</f>
        <v>0.54</v>
      </c>
      <c r="S535" s="88">
        <f>SUM(S525:S533)</f>
        <v>6063477.48</v>
      </c>
      <c r="T535" s="409"/>
      <c r="U535" s="166"/>
      <c r="V535" s="167">
        <f>W535/W523</f>
        <v>0.54</v>
      </c>
      <c r="W535" s="473">
        <f>SUM(W525:W533)</f>
        <v>6801541.002</v>
      </c>
      <c r="X535" s="238"/>
      <c r="Y535" s="166"/>
      <c r="Z535" s="251">
        <f>AA535/AA523</f>
        <v>0.54</v>
      </c>
      <c r="AA535" s="241">
        <f>SUM(AA525:AA533)</f>
        <v>7233541.002</v>
      </c>
      <c r="AB535" s="238"/>
      <c r="AC535" s="166"/>
      <c r="AD535" s="251">
        <f>AE535/AE523</f>
        <v>0.54</v>
      </c>
      <c r="AE535" s="241">
        <f>SUM(AE525:AE533)</f>
        <v>7773541.002</v>
      </c>
    </row>
    <row r="536" spans="1:31" ht="12" thickBot="1">
      <c r="A536" s="116"/>
      <c r="B536" s="91"/>
      <c r="C536" s="91"/>
      <c r="D536" s="91"/>
      <c r="E536" s="131"/>
      <c r="F536" s="131"/>
      <c r="G536" s="131"/>
      <c r="H536" s="483"/>
      <c r="I536" s="339"/>
      <c r="J536" s="494"/>
      <c r="K536" s="495"/>
      <c r="L536" s="419"/>
      <c r="M536" s="333"/>
      <c r="N536" s="339"/>
      <c r="O536" s="168"/>
      <c r="P536" s="439"/>
      <c r="Q536" s="116"/>
      <c r="R536" s="252"/>
      <c r="S536" s="253"/>
      <c r="T536" s="406"/>
      <c r="U536" s="116"/>
      <c r="V536" s="116"/>
      <c r="W536" s="314"/>
      <c r="X536" s="232"/>
      <c r="Y536" s="116"/>
      <c r="Z536" s="116"/>
      <c r="AA536" s="314"/>
      <c r="AB536" s="232"/>
      <c r="AC536" s="116"/>
      <c r="AD536" s="116"/>
      <c r="AE536" s="314"/>
    </row>
    <row r="537" spans="1:31" ht="12" thickTop="1">
      <c r="A537" s="126" t="s">
        <v>115</v>
      </c>
      <c r="B537" s="9"/>
      <c r="C537" s="9"/>
      <c r="D537" s="9"/>
      <c r="E537" s="114"/>
      <c r="F537" s="114"/>
      <c r="G537" s="93"/>
      <c r="H537" s="491">
        <f>H523+H535</f>
        <v>7470266.4</v>
      </c>
      <c r="I537" s="343">
        <f>I523+I535</f>
        <v>4755610.8</v>
      </c>
      <c r="J537" s="343">
        <f>J523+J535</f>
        <v>1248517.2</v>
      </c>
      <c r="K537" s="496">
        <f>K523+K535</f>
        <v>13474394.4</v>
      </c>
      <c r="L537" s="415"/>
      <c r="M537" s="426"/>
      <c r="N537" s="343"/>
      <c r="O537" s="94">
        <f>+O535+O523</f>
        <v>13474394.4</v>
      </c>
      <c r="P537" s="440"/>
      <c r="Q537" s="254"/>
      <c r="R537" s="100"/>
      <c r="S537" s="248">
        <f>+S535+S523</f>
        <v>17292139.48</v>
      </c>
      <c r="T537" s="407"/>
      <c r="U537" s="254"/>
      <c r="V537" s="100"/>
      <c r="W537" s="248">
        <f>+W535+W523</f>
        <v>19396987.302</v>
      </c>
      <c r="X537" s="234" t="s">
        <v>9</v>
      </c>
      <c r="Y537" s="254">
        <f>Y523</f>
        <v>1271709</v>
      </c>
      <c r="Z537" s="315">
        <f>AA537/Y537</f>
        <v>16.221468356361402</v>
      </c>
      <c r="AA537" s="248">
        <f>+AA535+AA523</f>
        <v>20628987.302</v>
      </c>
      <c r="AB537" s="234" t="s">
        <v>9</v>
      </c>
      <c r="AC537" s="254">
        <f>AC523</f>
        <v>1271709</v>
      </c>
      <c r="AD537" s="315">
        <f>AE537/AC537</f>
        <v>17.432437217948447</v>
      </c>
      <c r="AE537" s="248">
        <f>+AE535+AE523</f>
        <v>22168987.302</v>
      </c>
    </row>
    <row r="538" spans="1:31" ht="12" thickBot="1">
      <c r="A538" s="97"/>
      <c r="H538" s="481"/>
      <c r="I538" s="84"/>
      <c r="J538" s="84"/>
      <c r="K538" s="497"/>
      <c r="L538" s="159"/>
      <c r="M538" s="56"/>
      <c r="N538" s="87"/>
      <c r="O538" s="32"/>
      <c r="P538" s="124"/>
      <c r="Q538" s="113"/>
      <c r="R538" s="249"/>
      <c r="S538" s="36"/>
      <c r="T538" s="191"/>
      <c r="U538" s="113"/>
      <c r="V538" s="249"/>
      <c r="W538" s="36"/>
      <c r="X538" s="229"/>
      <c r="Y538" s="113"/>
      <c r="Z538" s="189"/>
      <c r="AA538" s="36"/>
      <c r="AB538" s="229"/>
      <c r="AC538" s="113"/>
      <c r="AD538" s="189"/>
      <c r="AE538" s="36"/>
    </row>
    <row r="539" spans="1:31" ht="12.75" thickBot="1" thickTop="1">
      <c r="A539" s="127" t="s">
        <v>5</v>
      </c>
      <c r="B539" s="49"/>
      <c r="C539" s="49"/>
      <c r="D539" s="49"/>
      <c r="E539" s="49"/>
      <c r="F539" s="49"/>
      <c r="G539" s="49"/>
      <c r="H539" s="498"/>
      <c r="I539" s="345"/>
      <c r="J539" s="345"/>
      <c r="K539" s="499">
        <f>K537+'Operating Cost Estimate'!H55</f>
        <v>21651782.4</v>
      </c>
      <c r="L539" s="420"/>
      <c r="M539" s="427"/>
      <c r="N539" s="345"/>
      <c r="O539" s="430">
        <f>O537+'Operating Cost Estimate'!H55</f>
        <v>21651782.4</v>
      </c>
      <c r="P539" s="445"/>
      <c r="Q539" s="256"/>
      <c r="R539" s="233"/>
      <c r="S539" s="257">
        <f>S537+'Operating Cost Estimate'!J70</f>
        <v>27786454.08</v>
      </c>
      <c r="T539" s="411"/>
      <c r="U539" s="256"/>
      <c r="V539" s="100"/>
      <c r="W539" s="257">
        <f>W537+'Operating Cost Estimate'!L55</f>
        <v>34560335.502000004</v>
      </c>
      <c r="X539" s="255" t="s">
        <v>9</v>
      </c>
      <c r="Y539" s="256">
        <f>Y537</f>
        <v>1271709</v>
      </c>
      <c r="Z539" s="316">
        <f>AA539/Y539</f>
        <v>66.21098215236347</v>
      </c>
      <c r="AA539" s="257">
        <f>AA537+'Operating Cost Estimate'!N55</f>
        <v>84201101.902</v>
      </c>
      <c r="AB539" s="255" t="s">
        <v>9</v>
      </c>
      <c r="AC539" s="256">
        <f>AC537</f>
        <v>1271709</v>
      </c>
      <c r="AD539" s="316">
        <f>AE539/AC539</f>
        <v>109.86640961257648</v>
      </c>
      <c r="AE539" s="257">
        <f>AE537+'Operating Cost Estimate'!P55</f>
        <v>139718101.902</v>
      </c>
    </row>
    <row r="540" spans="1:31" ht="12" thickTop="1">
      <c r="A540" s="132"/>
      <c r="B540" s="59"/>
      <c r="C540" s="59"/>
      <c r="D540" s="59"/>
      <c r="E540" s="59"/>
      <c r="F540" s="59"/>
      <c r="G540" s="59"/>
      <c r="H540" s="169"/>
      <c r="I540" s="169"/>
      <c r="J540" s="169"/>
      <c r="K540" s="169"/>
      <c r="L540" s="59"/>
      <c r="M540" s="170"/>
      <c r="N540" s="169"/>
      <c r="O540" s="169"/>
      <c r="P540" s="188"/>
      <c r="Q540" s="258"/>
      <c r="R540" s="259"/>
      <c r="S540" s="260"/>
      <c r="T540" s="188"/>
      <c r="U540" s="258"/>
      <c r="V540" s="317"/>
      <c r="W540" s="260"/>
      <c r="X540" s="188"/>
      <c r="Y540" s="258"/>
      <c r="Z540" s="317"/>
      <c r="AA540" s="260"/>
      <c r="AB540" s="188"/>
      <c r="AC540" s="258"/>
      <c r="AD540" s="317"/>
      <c r="AE540" s="260"/>
    </row>
    <row r="541" spans="1:31" ht="11.25">
      <c r="A541" s="97"/>
      <c r="H541" s="478"/>
      <c r="I541" s="87"/>
      <c r="J541" s="87"/>
      <c r="K541" s="480"/>
      <c r="L541" s="31"/>
      <c r="M541" s="120"/>
      <c r="N541" s="87"/>
      <c r="O541" s="431"/>
      <c r="P541" s="229"/>
      <c r="Q541" s="230"/>
      <c r="R541" s="189"/>
      <c r="S541" s="36"/>
      <c r="T541" s="191"/>
      <c r="U541" s="230"/>
      <c r="V541" s="100"/>
      <c r="W541" s="36"/>
      <c r="X541" s="229"/>
      <c r="Y541" s="230"/>
      <c r="Z541" s="100"/>
      <c r="AA541" s="36"/>
      <c r="AB541" s="229"/>
      <c r="AC541" s="230"/>
      <c r="AD541" s="100"/>
      <c r="AE541" s="36"/>
    </row>
    <row r="542" spans="1:31" ht="12">
      <c r="A542" s="50" t="s">
        <v>617</v>
      </c>
      <c r="H542" s="478"/>
      <c r="I542" s="87"/>
      <c r="J542" s="87"/>
      <c r="K542" s="480"/>
      <c r="L542" s="31"/>
      <c r="M542" s="120"/>
      <c r="N542" s="87"/>
      <c r="O542" s="431"/>
      <c r="P542" s="124"/>
      <c r="Q542" s="230"/>
      <c r="R542" s="402"/>
      <c r="S542" s="36"/>
      <c r="T542" s="191"/>
      <c r="U542" s="230"/>
      <c r="V542" s="192"/>
      <c r="W542" s="36"/>
      <c r="X542" s="229"/>
      <c r="Y542" s="230"/>
      <c r="Z542" s="192"/>
      <c r="AA542" s="36"/>
      <c r="AB542" s="229"/>
      <c r="AC542" s="230"/>
      <c r="AD542" s="192"/>
      <c r="AE542" s="36"/>
    </row>
    <row r="543" spans="1:31" ht="11.25">
      <c r="A543" s="97"/>
      <c r="H543" s="478"/>
      <c r="I543" s="87"/>
      <c r="J543" s="87"/>
      <c r="K543" s="480"/>
      <c r="L543" s="31"/>
      <c r="M543" s="120"/>
      <c r="N543" s="87"/>
      <c r="O543" s="32"/>
      <c r="P543" s="124"/>
      <c r="Q543" s="230"/>
      <c r="R543" s="402"/>
      <c r="S543" s="36"/>
      <c r="T543" s="191"/>
      <c r="U543" s="230"/>
      <c r="V543" s="192"/>
      <c r="W543" s="36"/>
      <c r="X543" s="229"/>
      <c r="Y543" s="230"/>
      <c r="Z543" s="192"/>
      <c r="AA543" s="36"/>
      <c r="AB543" s="229"/>
      <c r="AC543" s="230"/>
      <c r="AD543" s="192"/>
      <c r="AE543" s="36"/>
    </row>
    <row r="544" spans="1:31" ht="11.25">
      <c r="A544" s="97" t="s">
        <v>103</v>
      </c>
      <c r="B544" s="15" t="str">
        <f>B8</f>
        <v>Tailings Area Reclamation</v>
      </c>
      <c r="H544" s="478"/>
      <c r="I544" s="87"/>
      <c r="J544" s="87"/>
      <c r="K544" s="480"/>
      <c r="L544" s="109"/>
      <c r="M544" s="380"/>
      <c r="N544" s="381"/>
      <c r="O544" s="379"/>
      <c r="P544" s="401"/>
      <c r="Q544" s="322"/>
      <c r="R544" s="403"/>
      <c r="S544" s="246"/>
      <c r="T544" s="408"/>
      <c r="U544" s="245"/>
      <c r="V544" s="313"/>
      <c r="W544" s="246"/>
      <c r="X544" s="244"/>
      <c r="Y544" s="245"/>
      <c r="Z544" s="313"/>
      <c r="AA544" s="246"/>
      <c r="AB544" s="244"/>
      <c r="AC544" s="245"/>
      <c r="AD544" s="313"/>
      <c r="AE544" s="246"/>
    </row>
    <row r="545" spans="1:31" ht="11.25">
      <c r="A545" s="97"/>
      <c r="C545" s="15" t="str">
        <f>B9</f>
        <v>Drystack Tailings Impoundment (Phase III)</v>
      </c>
      <c r="H545" s="478">
        <f>H28*(1+$N$535)</f>
        <v>363673.2</v>
      </c>
      <c r="I545" s="87">
        <f>I28*(1+$N$535)</f>
        <v>539247.6</v>
      </c>
      <c r="J545" s="87">
        <f>J28*(1+$N$535)</f>
        <v>393600</v>
      </c>
      <c r="K545" s="480">
        <f aca="true" t="shared" si="9" ref="K545:K551">SUM(H545:J545)</f>
        <v>1296520.8</v>
      </c>
      <c r="L545" s="398" t="str">
        <f>L28</f>
        <v>cy</v>
      </c>
      <c r="M545" s="56">
        <f>M28</f>
        <v>158600</v>
      </c>
      <c r="N545" s="399">
        <f>O545/M545</f>
        <v>8.174784363177807</v>
      </c>
      <c r="O545" s="32">
        <f>K545</f>
        <v>1296520.8</v>
      </c>
      <c r="P545" s="29" t="str">
        <f>P28</f>
        <v>cy</v>
      </c>
      <c r="Q545" s="56">
        <f>Q28</f>
        <v>158600</v>
      </c>
      <c r="R545" s="399">
        <f>S545/Q545</f>
        <v>10.490973266078186</v>
      </c>
      <c r="S545" s="54">
        <f>S28*(1+$R$535)</f>
        <v>1663868.36</v>
      </c>
      <c r="T545" s="29" t="str">
        <f>T28</f>
        <v>cy</v>
      </c>
      <c r="U545" s="56">
        <f>U28</f>
        <v>189600</v>
      </c>
      <c r="V545" s="242">
        <f>W545/U545</f>
        <v>12.542991350210972</v>
      </c>
      <c r="W545" s="54">
        <f>W28*(1+$V$535)</f>
        <v>2378151.16</v>
      </c>
      <c r="X545" s="261" t="str">
        <f>X28</f>
        <v>cy</v>
      </c>
      <c r="Y545" s="230">
        <f>Y28</f>
        <v>189600</v>
      </c>
      <c r="Z545" s="242">
        <f>AA545/Y545</f>
        <v>12.542991350210972</v>
      </c>
      <c r="AA545" s="190">
        <f>AA28*(1+$Z$535)</f>
        <v>2378151.16</v>
      </c>
      <c r="AB545" s="261" t="str">
        <f>AB28</f>
        <v>cy</v>
      </c>
      <c r="AC545" s="230">
        <f>AC28</f>
        <v>189600</v>
      </c>
      <c r="AD545" s="242">
        <f>AE545/AC545</f>
        <v>12.542991350210972</v>
      </c>
      <c r="AE545" s="190">
        <f>AE28*(1+$AD$535)</f>
        <v>2378151.16</v>
      </c>
    </row>
    <row r="546" spans="1:31" ht="11.25">
      <c r="A546" s="376"/>
      <c r="B546" s="377"/>
      <c r="C546" s="15" t="str">
        <f>B30</f>
        <v>RTP Dam (Phase III)</v>
      </c>
      <c r="H546" s="478">
        <f>H31*(1+$N$535)</f>
        <v>6494.4</v>
      </c>
      <c r="I546" s="87">
        <f>I31*(1+$N$535)</f>
        <v>8440.8</v>
      </c>
      <c r="J546" s="87">
        <f>J31*(1+$N$535)</f>
        <v>0</v>
      </c>
      <c r="K546" s="480">
        <f t="shared" si="9"/>
        <v>14935.199999999999</v>
      </c>
      <c r="L546" s="398" t="str">
        <f>L31</f>
        <v>lot</v>
      </c>
      <c r="M546" s="56">
        <f>M31</f>
        <v>1</v>
      </c>
      <c r="N546" s="26">
        <f aca="true" t="shared" si="10" ref="N546:N551">O546/M546</f>
        <v>14935.199999999999</v>
      </c>
      <c r="O546" s="32">
        <f aca="true" t="shared" si="11" ref="O546:O584">K546</f>
        <v>14935.199999999999</v>
      </c>
      <c r="P546" s="29" t="str">
        <f>P31</f>
        <v>lot</v>
      </c>
      <c r="Q546" s="56">
        <f>Q31</f>
        <v>1</v>
      </c>
      <c r="R546" s="26">
        <f aca="true" t="shared" si="12" ref="R546:R551">S546/Q546</f>
        <v>19166.84</v>
      </c>
      <c r="S546" s="190">
        <f>S31*(1+$R$535)</f>
        <v>19166.84</v>
      </c>
      <c r="T546" s="29" t="str">
        <f>T31</f>
        <v>lot</v>
      </c>
      <c r="U546" s="56">
        <f>U31</f>
        <v>1</v>
      </c>
      <c r="V546" s="189">
        <f>W546/U546</f>
        <v>19166.84</v>
      </c>
      <c r="W546" s="190">
        <f>W31*(1+$V$535)</f>
        <v>19166.84</v>
      </c>
      <c r="X546" s="261" t="str">
        <f>X31</f>
        <v>lot</v>
      </c>
      <c r="Y546" s="230">
        <f>Y31</f>
        <v>1</v>
      </c>
      <c r="Z546" s="189">
        <f>AA546/Y546</f>
        <v>19166.84</v>
      </c>
      <c r="AA546" s="190">
        <f>AA31*(1+$Z$535)</f>
        <v>19166.84</v>
      </c>
      <c r="AB546" s="261" t="str">
        <f>AB31</f>
        <v>lot</v>
      </c>
      <c r="AC546" s="230">
        <f>AC31</f>
        <v>1</v>
      </c>
      <c r="AD546" s="189">
        <f>AE546/AC546</f>
        <v>19166.84</v>
      </c>
      <c r="AE546" s="190">
        <f>AE31*(1+$AD$535)</f>
        <v>19166.84</v>
      </c>
    </row>
    <row r="547" spans="1:31" ht="11.25">
      <c r="A547" s="376"/>
      <c r="B547" s="377"/>
      <c r="C547" s="15" t="str">
        <f>B33</f>
        <v>RTP Dam (Phase IV)</v>
      </c>
      <c r="D547" s="377"/>
      <c r="E547" s="377"/>
      <c r="F547" s="377"/>
      <c r="G547" s="377"/>
      <c r="H547" s="478">
        <f>H55*(1+$N$535)</f>
        <v>185994</v>
      </c>
      <c r="I547" s="87">
        <f>I55*(1+$N$535)</f>
        <v>275194.8</v>
      </c>
      <c r="J547" s="87">
        <f>J55*(1+$N$535)</f>
        <v>120640.79999999999</v>
      </c>
      <c r="K547" s="480">
        <f t="shared" si="9"/>
        <v>581829.6</v>
      </c>
      <c r="L547" s="398" t="str">
        <f>L55</f>
        <v>cy</v>
      </c>
      <c r="M547" s="56">
        <f>M55</f>
        <v>187800</v>
      </c>
      <c r="N547" s="399">
        <f t="shared" si="10"/>
        <v>3.0981341853035143</v>
      </c>
      <c r="O547" s="32">
        <f t="shared" si="11"/>
        <v>581829.6</v>
      </c>
      <c r="P547" s="29" t="str">
        <f>P55</f>
        <v>cy</v>
      </c>
      <c r="Q547" s="56">
        <f>Q55</f>
        <v>187800</v>
      </c>
      <c r="R547" s="399">
        <f t="shared" si="12"/>
        <v>3.9759388711395105</v>
      </c>
      <c r="S547" s="190">
        <f>S55*(1+$R$535)</f>
        <v>746681.3200000001</v>
      </c>
      <c r="T547" s="29" t="str">
        <f>T55</f>
        <v>cy</v>
      </c>
      <c r="U547" s="56">
        <f>U55</f>
        <v>187800</v>
      </c>
      <c r="V547" s="242">
        <f>W547/U547</f>
        <v>5.300748881789137</v>
      </c>
      <c r="W547" s="190">
        <f>W55*(1+$V$535)</f>
        <v>995480.64</v>
      </c>
      <c r="X547" s="261" t="str">
        <f>X55</f>
        <v>cy</v>
      </c>
      <c r="Y547" s="230">
        <f>Y55</f>
        <v>187800</v>
      </c>
      <c r="Z547" s="242">
        <f>AA547/Y547</f>
        <v>5.300748881789137</v>
      </c>
      <c r="AA547" s="190">
        <f>AA55*(1+$Z$535)</f>
        <v>995480.64</v>
      </c>
      <c r="AB547" s="261" t="str">
        <f>AB55</f>
        <v>cy</v>
      </c>
      <c r="AC547" s="230">
        <f>AC55</f>
        <v>187800</v>
      </c>
      <c r="AD547" s="242">
        <f>AE547/AC547</f>
        <v>5.300748881789137</v>
      </c>
      <c r="AE547" s="190">
        <f>AE55*(1+$AD$535)</f>
        <v>995480.64</v>
      </c>
    </row>
    <row r="548" spans="1:31" ht="11.25">
      <c r="A548" s="376"/>
      <c r="B548" s="377"/>
      <c r="C548" s="15" t="str">
        <f>B57</f>
        <v>Solid Waste Facility (Phase IV)</v>
      </c>
      <c r="D548" s="377"/>
      <c r="E548" s="377"/>
      <c r="F548" s="377"/>
      <c r="G548" s="377"/>
      <c r="H548" s="478">
        <f>H79*(1+$N$535)</f>
        <v>12715.199999999999</v>
      </c>
      <c r="I548" s="87">
        <f>I79*(1+$N$535)</f>
        <v>15879.599999999999</v>
      </c>
      <c r="J548" s="87">
        <f>J79*(1+$N$535)</f>
        <v>3600</v>
      </c>
      <c r="K548" s="480">
        <f t="shared" si="9"/>
        <v>32194.799999999996</v>
      </c>
      <c r="L548" s="398" t="str">
        <f>L79</f>
        <v>cy</v>
      </c>
      <c r="M548" s="56">
        <f>M79</f>
        <v>3000</v>
      </c>
      <c r="N548" s="399">
        <f t="shared" si="10"/>
        <v>10.731599999999998</v>
      </c>
      <c r="O548" s="32">
        <f t="shared" si="11"/>
        <v>32194.799999999996</v>
      </c>
      <c r="P548" s="29" t="str">
        <f>P79</f>
        <v>cy</v>
      </c>
      <c r="Q548" s="56">
        <f>Q79</f>
        <v>3000</v>
      </c>
      <c r="R548" s="399">
        <f t="shared" si="12"/>
        <v>13.77222</v>
      </c>
      <c r="S548" s="190">
        <f>S79*(1+$R$535)</f>
        <v>41316.66</v>
      </c>
      <c r="T548" s="29" t="str">
        <f>T79</f>
        <v>cy</v>
      </c>
      <c r="U548" s="56">
        <f>U79</f>
        <v>3000</v>
      </c>
      <c r="V548" s="242">
        <f>W548/U548</f>
        <v>22.520960000000002</v>
      </c>
      <c r="W548" s="190">
        <f>W79*(1+$V$535)</f>
        <v>67562.88</v>
      </c>
      <c r="X548" s="261" t="str">
        <f>X79</f>
        <v>cy</v>
      </c>
      <c r="Y548" s="230">
        <f>Y79</f>
        <v>3000</v>
      </c>
      <c r="Z548" s="242">
        <f>AA548/Y548</f>
        <v>22.520960000000002</v>
      </c>
      <c r="AA548" s="190">
        <f>AA79*(1+$Z$535)</f>
        <v>67562.88</v>
      </c>
      <c r="AB548" s="261" t="str">
        <f>AB79</f>
        <v>cy</v>
      </c>
      <c r="AC548" s="230">
        <f>AC79</f>
        <v>3000</v>
      </c>
      <c r="AD548" s="242">
        <f>AE548/AC548</f>
        <v>22.520960000000002</v>
      </c>
      <c r="AE548" s="190">
        <f>AE79*(1+$AD$535)</f>
        <v>67562.88</v>
      </c>
    </row>
    <row r="549" spans="1:31" ht="11.25">
      <c r="A549" s="376"/>
      <c r="B549" s="377"/>
      <c r="C549" s="15" t="str">
        <f>B81</f>
        <v>Install additional stormwater controls (Phase III)</v>
      </c>
      <c r="D549" s="377"/>
      <c r="E549" s="377"/>
      <c r="F549" s="377"/>
      <c r="G549" s="377"/>
      <c r="H549" s="478">
        <f aca="true" t="shared" si="13" ref="H549:J550">H81*(1+$N$535)</f>
        <v>47709.6</v>
      </c>
      <c r="I549" s="87">
        <f t="shared" si="13"/>
        <v>60609.6</v>
      </c>
      <c r="J549" s="87">
        <f t="shared" si="13"/>
        <v>0</v>
      </c>
      <c r="K549" s="480">
        <f t="shared" si="9"/>
        <v>108319.2</v>
      </c>
      <c r="L549" s="159" t="str">
        <f>L81</f>
        <v>cy</v>
      </c>
      <c r="M549" s="56">
        <f>M81</f>
        <v>40950</v>
      </c>
      <c r="N549" s="399">
        <f t="shared" si="10"/>
        <v>2.6451575091575092</v>
      </c>
      <c r="O549" s="32">
        <f t="shared" si="11"/>
        <v>108319.2</v>
      </c>
      <c r="P549" s="89" t="str">
        <f>P81</f>
        <v>cy</v>
      </c>
      <c r="Q549" s="56">
        <f>Q81</f>
        <v>40950</v>
      </c>
      <c r="R549" s="399">
        <f t="shared" si="12"/>
        <v>3.394618803418804</v>
      </c>
      <c r="S549" s="190">
        <f>S81*(1+$R$535)</f>
        <v>139009.64</v>
      </c>
      <c r="T549" s="89" t="str">
        <f>T81</f>
        <v>cy</v>
      </c>
      <c r="U549" s="56">
        <f>U81</f>
        <v>40950</v>
      </c>
      <c r="V549" s="242">
        <f>W549/U549</f>
        <v>3.394618803418804</v>
      </c>
      <c r="W549" s="190">
        <f>W81*(1+$V$535)</f>
        <v>139009.64</v>
      </c>
      <c r="X549" s="229" t="str">
        <f>X81</f>
        <v>cy</v>
      </c>
      <c r="Y549" s="230">
        <f>Y81</f>
        <v>40950</v>
      </c>
      <c r="Z549" s="242">
        <f>AA549/Y549</f>
        <v>3.394618803418804</v>
      </c>
      <c r="AA549" s="190">
        <f>AA81*(1+$Z$535)</f>
        <v>139009.64</v>
      </c>
      <c r="AB549" s="229" t="str">
        <f>AB81</f>
        <v>cy</v>
      </c>
      <c r="AC549" s="230">
        <f>AC81</f>
        <v>40950</v>
      </c>
      <c r="AD549" s="242">
        <f>AE549/AC549</f>
        <v>3.394618803418804</v>
      </c>
      <c r="AE549" s="190">
        <f>AE81*(1+$AD$535)</f>
        <v>139009.64</v>
      </c>
    </row>
    <row r="550" spans="1:31" ht="11.25">
      <c r="A550" s="376"/>
      <c r="B550" s="377"/>
      <c r="C550" s="15" t="str">
        <f>B82</f>
        <v>Install additional groundwater controls</v>
      </c>
      <c r="D550" s="377"/>
      <c r="E550" s="377"/>
      <c r="F550" s="377"/>
      <c r="G550" s="377"/>
      <c r="H550" s="478">
        <f t="shared" si="13"/>
        <v>0</v>
      </c>
      <c r="I550" s="87">
        <f t="shared" si="13"/>
        <v>0</v>
      </c>
      <c r="J550" s="87">
        <f t="shared" si="13"/>
        <v>0</v>
      </c>
      <c r="K550" s="480">
        <f t="shared" si="9"/>
        <v>0</v>
      </c>
      <c r="L550" s="31"/>
      <c r="M550" s="57"/>
      <c r="N550" s="26"/>
      <c r="O550" s="32">
        <f t="shared" si="11"/>
        <v>0</v>
      </c>
      <c r="P550" s="29"/>
      <c r="Q550" s="56"/>
      <c r="R550" s="26"/>
      <c r="S550" s="190"/>
      <c r="T550" s="29"/>
      <c r="U550" s="56"/>
      <c r="V550" s="189"/>
      <c r="W550" s="190"/>
      <c r="X550" s="261"/>
      <c r="Y550" s="230"/>
      <c r="Z550" s="189"/>
      <c r="AA550" s="190"/>
      <c r="AB550" s="384"/>
      <c r="AC550" s="387"/>
      <c r="AD550" s="382"/>
      <c r="AE550" s="383"/>
    </row>
    <row r="551" spans="1:31" ht="11.25">
      <c r="A551" s="376"/>
      <c r="B551" s="15" t="str">
        <f>B83</f>
        <v>Subtotal Tailings Area Reclamation</v>
      </c>
      <c r="H551" s="478">
        <f>SUM(H545:H550)</f>
        <v>616586.4</v>
      </c>
      <c r="I551" s="87">
        <f>SUM(I545:I550)</f>
        <v>899372.3999999999</v>
      </c>
      <c r="J551" s="87">
        <f>SUM(J545:J550)</f>
        <v>517840.8</v>
      </c>
      <c r="K551" s="480">
        <f t="shared" si="9"/>
        <v>2033799.5999999999</v>
      </c>
      <c r="L551" s="55" t="s">
        <v>213</v>
      </c>
      <c r="M551" s="57">
        <f>SUM(M545:M550)</f>
        <v>390351</v>
      </c>
      <c r="N551" s="399">
        <f t="shared" si="10"/>
        <v>5.2101816057855626</v>
      </c>
      <c r="O551" s="32">
        <f>SUM(O545:O550)</f>
        <v>2033799.6</v>
      </c>
      <c r="P551" s="29" t="s">
        <v>213</v>
      </c>
      <c r="Q551" s="56">
        <f>SUM(Q545,Q547:Q549)</f>
        <v>390350</v>
      </c>
      <c r="R551" s="399">
        <f t="shared" si="12"/>
        <v>6.686416856667096</v>
      </c>
      <c r="S551" s="190">
        <f>SUM(S545:S550)</f>
        <v>2610042.8200000008</v>
      </c>
      <c r="T551" s="29" t="s">
        <v>213</v>
      </c>
      <c r="U551" s="56">
        <f>SUM(U545,U547:U549)</f>
        <v>421350</v>
      </c>
      <c r="V551" s="399">
        <f>W551/U551</f>
        <v>8.542473383173135</v>
      </c>
      <c r="W551" s="190">
        <f>SUM(W545:W550)</f>
        <v>3599371.16</v>
      </c>
      <c r="X551" s="261" t="s">
        <v>213</v>
      </c>
      <c r="Y551" s="230">
        <f>SUM(Y545,Y547:Y549)</f>
        <v>421350</v>
      </c>
      <c r="Z551" s="242">
        <f>AA551/Y551</f>
        <v>8.542473383173135</v>
      </c>
      <c r="AA551" s="190">
        <f>SUM(AA545:AA550)</f>
        <v>3599371.16</v>
      </c>
      <c r="AB551" s="261" t="s">
        <v>213</v>
      </c>
      <c r="AC551" s="230">
        <f>SUM(AC545,AC547:AC549)</f>
        <v>421350</v>
      </c>
      <c r="AD551" s="242">
        <f>AE551/AC551</f>
        <v>8.542473383173135</v>
      </c>
      <c r="AE551" s="190">
        <f>SUM(AE545:AE550)</f>
        <v>3599371.16</v>
      </c>
    </row>
    <row r="552" spans="1:31" ht="11.25">
      <c r="A552" s="376"/>
      <c r="B552" s="377"/>
      <c r="C552" s="377"/>
      <c r="D552" s="377"/>
      <c r="E552" s="377"/>
      <c r="F552" s="377"/>
      <c r="G552" s="377"/>
      <c r="H552" s="500"/>
      <c r="I552" s="341"/>
      <c r="J552" s="341"/>
      <c r="K552" s="501"/>
      <c r="L552" s="385"/>
      <c r="M552" s="380"/>
      <c r="N552" s="381"/>
      <c r="O552" s="379"/>
      <c r="P552" s="378"/>
      <c r="Q552" s="332"/>
      <c r="R552" s="381"/>
      <c r="S552" s="383"/>
      <c r="T552" s="386"/>
      <c r="U552" s="387"/>
      <c r="V552" s="382"/>
      <c r="W552" s="383"/>
      <c r="X552" s="388"/>
      <c r="Y552" s="387"/>
      <c r="Z552" s="382"/>
      <c r="AA552" s="383"/>
      <c r="AB552" s="384"/>
      <c r="AC552" s="387"/>
      <c r="AD552" s="382"/>
      <c r="AE552" s="383"/>
    </row>
    <row r="553" spans="1:31" ht="11.25">
      <c r="A553" s="97" t="s">
        <v>104</v>
      </c>
      <c r="B553" s="15" t="str">
        <f>B85</f>
        <v>Underground Mine</v>
      </c>
      <c r="H553" s="478"/>
      <c r="I553" s="87"/>
      <c r="J553" s="87"/>
      <c r="K553" s="480"/>
      <c r="L553" s="55"/>
      <c r="M553" s="57"/>
      <c r="N553" s="26"/>
      <c r="O553" s="32"/>
      <c r="P553" s="378"/>
      <c r="Q553" s="332"/>
      <c r="R553" s="381"/>
      <c r="S553" s="383"/>
      <c r="T553" s="386"/>
      <c r="U553" s="387"/>
      <c r="V553" s="382"/>
      <c r="W553" s="383"/>
      <c r="X553" s="388"/>
      <c r="Y553" s="387"/>
      <c r="Z553" s="382"/>
      <c r="AA553" s="383"/>
      <c r="AB553" s="384"/>
      <c r="AC553" s="387"/>
      <c r="AD553" s="382"/>
      <c r="AE553" s="383"/>
    </row>
    <row r="554" spans="1:31" ht="11.25">
      <c r="A554" s="97"/>
      <c r="C554" s="15" t="str">
        <f>B87</f>
        <v>Removal and/or Demolition</v>
      </c>
      <c r="H554" s="478">
        <f>H88*(1+$N$535)</f>
        <v>106158</v>
      </c>
      <c r="I554" s="87">
        <f>I88*(1+$N$535)</f>
        <v>49006.799999999996</v>
      </c>
      <c r="J554" s="87">
        <f>J88*(1+$N$535)</f>
        <v>600</v>
      </c>
      <c r="K554" s="480">
        <f aca="true" t="shared" si="14" ref="K554:K561">SUM(H554:J554)</f>
        <v>155764.8</v>
      </c>
      <c r="L554" s="398" t="str">
        <f>L88</f>
        <v>lot</v>
      </c>
      <c r="M554" s="56">
        <f>M88</f>
        <v>139</v>
      </c>
      <c r="N554" s="26">
        <f>O554/M554</f>
        <v>1120.610071942446</v>
      </c>
      <c r="O554" s="32">
        <f t="shared" si="11"/>
        <v>155764.8</v>
      </c>
      <c r="P554" s="29" t="str">
        <f>P88</f>
        <v>lot</v>
      </c>
      <c r="Q554" s="56">
        <f>Q88</f>
        <v>139</v>
      </c>
      <c r="R554" s="26">
        <f aca="true" t="shared" si="15" ref="R554:R561">S554/Q554</f>
        <v>1438.1162589928058</v>
      </c>
      <c r="S554" s="190">
        <f>S88*(1+$R$535)</f>
        <v>199898.16</v>
      </c>
      <c r="T554" s="26" t="str">
        <f>T88</f>
        <v>lot</v>
      </c>
      <c r="U554" s="230">
        <f>U88</f>
        <v>139</v>
      </c>
      <c r="V554" s="189">
        <f aca="true" t="shared" si="16" ref="V554:V561">W554/U554</f>
        <v>1438.1162589928058</v>
      </c>
      <c r="W554" s="190">
        <f>W88*(1+$V$535)</f>
        <v>199898.16</v>
      </c>
      <c r="X554" s="261" t="str">
        <f>X88</f>
        <v>lot</v>
      </c>
      <c r="Y554" s="230">
        <f>Y88</f>
        <v>139</v>
      </c>
      <c r="Z554" s="189">
        <f aca="true" t="shared" si="17" ref="Z554:Z561">AA554/Y554</f>
        <v>1438.1162589928058</v>
      </c>
      <c r="AA554" s="190">
        <f>AA88*(1+$Z$535)</f>
        <v>199898.16</v>
      </c>
      <c r="AB554" s="261" t="str">
        <f>AB88</f>
        <v>lot</v>
      </c>
      <c r="AC554" s="230">
        <f>AC88</f>
        <v>139</v>
      </c>
      <c r="AD554" s="189">
        <f aca="true" t="shared" si="18" ref="AD554:AD561">AE554/AC554</f>
        <v>1438.1162589928058</v>
      </c>
      <c r="AE554" s="190">
        <f>AE88*(1+$AD$535)</f>
        <v>199898.16</v>
      </c>
    </row>
    <row r="555" spans="1:31" ht="11.25">
      <c r="A555" s="97"/>
      <c r="C555" s="15" t="str">
        <f>B90</f>
        <v>Paste Backfill</v>
      </c>
      <c r="H555" s="478">
        <f aca="true" t="shared" si="19" ref="H555:J557">H90*(1+$N$535)</f>
        <v>382404</v>
      </c>
      <c r="I555" s="87">
        <f t="shared" si="19"/>
        <v>179124</v>
      </c>
      <c r="J555" s="87">
        <f t="shared" si="19"/>
        <v>300000</v>
      </c>
      <c r="K555" s="480">
        <f t="shared" si="14"/>
        <v>861528</v>
      </c>
      <c r="L555" s="398" t="str">
        <f aca="true" t="shared" si="20" ref="L555:M557">L90</f>
        <v>ton</v>
      </c>
      <c r="M555" s="56">
        <f t="shared" si="20"/>
        <v>100000</v>
      </c>
      <c r="N555" s="399">
        <f aca="true" t="shared" si="21" ref="N555:N561">O555/M555</f>
        <v>8.61528</v>
      </c>
      <c r="O555" s="32">
        <f t="shared" si="11"/>
        <v>861528</v>
      </c>
      <c r="P555" s="29" t="str">
        <f aca="true" t="shared" si="22" ref="P555:Q557">P90</f>
        <v>ton</v>
      </c>
      <c r="Q555" s="56">
        <f t="shared" si="22"/>
        <v>100000</v>
      </c>
      <c r="R555" s="399">
        <f t="shared" si="15"/>
        <v>11.056276</v>
      </c>
      <c r="S555" s="190">
        <f>S90*(1+$R$535)</f>
        <v>1105627.6</v>
      </c>
      <c r="T555" s="26" t="str">
        <f aca="true" t="shared" si="23" ref="T555:U557">T90</f>
        <v>ton</v>
      </c>
      <c r="U555" s="230">
        <f t="shared" si="23"/>
        <v>100000</v>
      </c>
      <c r="V555" s="242">
        <f t="shared" si="16"/>
        <v>11.056276</v>
      </c>
      <c r="W555" s="190">
        <f>W90*(1+$V$535)</f>
        <v>1105627.6</v>
      </c>
      <c r="X555" s="261" t="str">
        <f aca="true" t="shared" si="24" ref="X555:Y557">X90</f>
        <v>ton</v>
      </c>
      <c r="Y555" s="230">
        <f t="shared" si="24"/>
        <v>100000</v>
      </c>
      <c r="Z555" s="242">
        <f t="shared" si="17"/>
        <v>11.056276</v>
      </c>
      <c r="AA555" s="190">
        <f>AA90*(1+$Z$535)</f>
        <v>1105627.6</v>
      </c>
      <c r="AB555" s="261" t="str">
        <f aca="true" t="shared" si="25" ref="AB555:AC557">AB90</f>
        <v>ton</v>
      </c>
      <c r="AC555" s="230">
        <f t="shared" si="25"/>
        <v>100000</v>
      </c>
      <c r="AD555" s="242">
        <f t="shared" si="18"/>
        <v>11.056276</v>
      </c>
      <c r="AE555" s="190">
        <f>AE90*(1+$AD$535)</f>
        <v>1105627.6</v>
      </c>
    </row>
    <row r="556" spans="1:31" ht="11.25">
      <c r="A556" s="376"/>
      <c r="B556" s="377"/>
      <c r="C556" s="15" t="str">
        <f>B91</f>
        <v>Plug Portals</v>
      </c>
      <c r="H556" s="478">
        <f t="shared" si="19"/>
        <v>41716.799999999996</v>
      </c>
      <c r="I556" s="87">
        <f t="shared" si="19"/>
        <v>19540.8</v>
      </c>
      <c r="J556" s="87">
        <f t="shared" si="19"/>
        <v>40800</v>
      </c>
      <c r="K556" s="480">
        <f t="shared" si="14"/>
        <v>102057.59999999999</v>
      </c>
      <c r="L556" s="398" t="str">
        <f t="shared" si="20"/>
        <v>cy</v>
      </c>
      <c r="M556" s="56">
        <f t="shared" si="20"/>
        <v>200</v>
      </c>
      <c r="N556" s="26">
        <f t="shared" si="21"/>
        <v>510.28799999999995</v>
      </c>
      <c r="O556" s="32">
        <f t="shared" si="11"/>
        <v>102057.59999999999</v>
      </c>
      <c r="P556" s="29" t="str">
        <f t="shared" si="22"/>
        <v>cy</v>
      </c>
      <c r="Q556" s="56">
        <f t="shared" si="22"/>
        <v>200</v>
      </c>
      <c r="R556" s="26">
        <f t="shared" si="15"/>
        <v>654.8696</v>
      </c>
      <c r="S556" s="190">
        <f>S91*(1+$R$535)</f>
        <v>130973.92</v>
      </c>
      <c r="T556" s="26" t="str">
        <f t="shared" si="23"/>
        <v>cy</v>
      </c>
      <c r="U556" s="230">
        <f t="shared" si="23"/>
        <v>200</v>
      </c>
      <c r="V556" s="189">
        <f t="shared" si="16"/>
        <v>654.8696</v>
      </c>
      <c r="W556" s="190">
        <f>W91*(1+$V$535)</f>
        <v>130973.92</v>
      </c>
      <c r="X556" s="261" t="str">
        <f t="shared" si="24"/>
        <v>cy</v>
      </c>
      <c r="Y556" s="230">
        <f t="shared" si="24"/>
        <v>200</v>
      </c>
      <c r="Z556" s="189">
        <f t="shared" si="17"/>
        <v>654.8696</v>
      </c>
      <c r="AA556" s="190">
        <f>AA91*(1+$Z$535)</f>
        <v>130973.92</v>
      </c>
      <c r="AB556" s="261" t="str">
        <f t="shared" si="25"/>
        <v>cy</v>
      </c>
      <c r="AC556" s="230">
        <f t="shared" si="25"/>
        <v>200</v>
      </c>
      <c r="AD556" s="189">
        <f t="shared" si="18"/>
        <v>654.8696</v>
      </c>
      <c r="AE556" s="190">
        <f>AE91*(1+$AD$535)</f>
        <v>130973.92</v>
      </c>
    </row>
    <row r="557" spans="1:31" ht="11.25">
      <c r="A557" s="376"/>
      <c r="B557" s="377"/>
      <c r="C557" s="15" t="str">
        <f>B92</f>
        <v>Flood Mine Workings</v>
      </c>
      <c r="H557" s="478">
        <f t="shared" si="19"/>
        <v>48087.6</v>
      </c>
      <c r="I557" s="87">
        <f t="shared" si="19"/>
        <v>14655.6</v>
      </c>
      <c r="J557" s="87">
        <f t="shared" si="19"/>
        <v>18000</v>
      </c>
      <c r="K557" s="480">
        <f t="shared" si="14"/>
        <v>80743.2</v>
      </c>
      <c r="L557" s="398" t="str">
        <f t="shared" si="20"/>
        <v>lf</v>
      </c>
      <c r="M557" s="56">
        <f t="shared" si="20"/>
        <v>3700</v>
      </c>
      <c r="N557" s="399">
        <f t="shared" si="21"/>
        <v>21.822486486486486</v>
      </c>
      <c r="O557" s="32">
        <f t="shared" si="11"/>
        <v>80743.2</v>
      </c>
      <c r="P557" s="29" t="str">
        <f t="shared" si="22"/>
        <v>lf</v>
      </c>
      <c r="Q557" s="56">
        <f t="shared" si="22"/>
        <v>3700</v>
      </c>
      <c r="R557" s="399">
        <f t="shared" si="15"/>
        <v>28.005524324324323</v>
      </c>
      <c r="S557" s="190">
        <f>S92*(1+$R$535)</f>
        <v>103620.44</v>
      </c>
      <c r="T557" s="26" t="str">
        <f t="shared" si="23"/>
        <v>lf</v>
      </c>
      <c r="U557" s="230">
        <f t="shared" si="23"/>
        <v>3700</v>
      </c>
      <c r="V557" s="242">
        <f t="shared" si="16"/>
        <v>28.005524324324323</v>
      </c>
      <c r="W557" s="190">
        <f>W92*(1+$V$535)</f>
        <v>103620.44</v>
      </c>
      <c r="X557" s="261" t="str">
        <f t="shared" si="24"/>
        <v>lf</v>
      </c>
      <c r="Y557" s="230">
        <f t="shared" si="24"/>
        <v>3700</v>
      </c>
      <c r="Z557" s="242">
        <f t="shared" si="17"/>
        <v>28.005524324324323</v>
      </c>
      <c r="AA557" s="190">
        <f>AA92*(1+$Z$535)</f>
        <v>103620.44</v>
      </c>
      <c r="AB557" s="261" t="str">
        <f t="shared" si="25"/>
        <v>lf</v>
      </c>
      <c r="AC557" s="230">
        <f t="shared" si="25"/>
        <v>3700</v>
      </c>
      <c r="AD557" s="242">
        <f t="shared" si="18"/>
        <v>28.005524324324323</v>
      </c>
      <c r="AE557" s="190">
        <f>AE92*(1+$AD$535)</f>
        <v>103620.44</v>
      </c>
    </row>
    <row r="558" spans="1:31" ht="11.25">
      <c r="A558" s="376"/>
      <c r="B558" s="377"/>
      <c r="C558" s="15" t="str">
        <f>B94</f>
        <v>1690 Portal (Phase III)</v>
      </c>
      <c r="H558" s="478">
        <f>H117*(1+$N$535)</f>
        <v>164984.4</v>
      </c>
      <c r="I558" s="87">
        <f>I117*(1+$N$535)</f>
        <v>97334.4</v>
      </c>
      <c r="J558" s="87">
        <f>J117*(1+$N$535)</f>
        <v>73561.2</v>
      </c>
      <c r="K558" s="480">
        <f t="shared" si="14"/>
        <v>335880</v>
      </c>
      <c r="L558" s="398" t="str">
        <f>L117</f>
        <v>sy</v>
      </c>
      <c r="M558" s="56">
        <f>M117</f>
        <v>3200</v>
      </c>
      <c r="N558" s="26">
        <f t="shared" si="21"/>
        <v>104.9625</v>
      </c>
      <c r="O558" s="32">
        <f t="shared" si="11"/>
        <v>335880</v>
      </c>
      <c r="P558" s="29" t="str">
        <f>P117</f>
        <v>sy</v>
      </c>
      <c r="Q558" s="56">
        <f>Q117</f>
        <v>3200</v>
      </c>
      <c r="R558" s="26">
        <f t="shared" si="15"/>
        <v>134.701875</v>
      </c>
      <c r="S558" s="190">
        <f>S117*(1+$R$535)</f>
        <v>431046</v>
      </c>
      <c r="T558" s="26" t="str">
        <f>T117</f>
        <v>sy</v>
      </c>
      <c r="U558" s="230">
        <f>U117</f>
        <v>3200</v>
      </c>
      <c r="V558" s="189">
        <f t="shared" si="16"/>
        <v>148.03971875000002</v>
      </c>
      <c r="W558" s="190">
        <f>W117*(1+$V$535)</f>
        <v>473727.10000000003</v>
      </c>
      <c r="X558" s="261" t="str">
        <f>X117</f>
        <v>sy</v>
      </c>
      <c r="Y558" s="230">
        <f>Y117</f>
        <v>3200</v>
      </c>
      <c r="Z558" s="189">
        <f t="shared" si="17"/>
        <v>148.03971875000002</v>
      </c>
      <c r="AA558" s="190">
        <f>AA117*(1+$Z$535)</f>
        <v>473727.10000000003</v>
      </c>
      <c r="AB558" s="261" t="str">
        <f>AB117</f>
        <v>sy</v>
      </c>
      <c r="AC558" s="230">
        <f>AC117</f>
        <v>3200</v>
      </c>
      <c r="AD558" s="189">
        <f t="shared" si="18"/>
        <v>148.03971875000002</v>
      </c>
      <c r="AE558" s="190">
        <f>AE117*(1+$AD$535)</f>
        <v>473727.10000000003</v>
      </c>
    </row>
    <row r="559" spans="1:31" ht="11.25">
      <c r="A559" s="376"/>
      <c r="B559" s="377"/>
      <c r="C559" s="15" t="str">
        <f>B119</f>
        <v>1835 Portal (Phase III)</v>
      </c>
      <c r="H559" s="478">
        <f>H142*(1+$N$535)</f>
        <v>121815.59999999999</v>
      </c>
      <c r="I559" s="87">
        <f>I142*(1+$N$535)</f>
        <v>83668.8</v>
      </c>
      <c r="J559" s="87">
        <f>J142*(1+$N$535)</f>
        <v>73474.8</v>
      </c>
      <c r="K559" s="480">
        <f t="shared" si="14"/>
        <v>278959.2</v>
      </c>
      <c r="L559" s="398" t="str">
        <f>L142</f>
        <v>sy</v>
      </c>
      <c r="M559" s="56">
        <f>M142</f>
        <v>21800</v>
      </c>
      <c r="N559" s="399">
        <f t="shared" si="21"/>
        <v>12.796293577981652</v>
      </c>
      <c r="O559" s="32">
        <f t="shared" si="11"/>
        <v>278959.2</v>
      </c>
      <c r="P559" s="29" t="str">
        <f>P142</f>
        <v>sy</v>
      </c>
      <c r="Q559" s="56">
        <f>Q142</f>
        <v>21800</v>
      </c>
      <c r="R559" s="399">
        <f t="shared" si="15"/>
        <v>16.42191009174312</v>
      </c>
      <c r="S559" s="190">
        <f>S142*(1+$R$535)</f>
        <v>357997.64</v>
      </c>
      <c r="T559" s="26" t="str">
        <f>T142</f>
        <v>sy</v>
      </c>
      <c r="U559" s="230">
        <f>U142</f>
        <v>21800</v>
      </c>
      <c r="V559" s="242">
        <f t="shared" si="16"/>
        <v>16.990085321100917</v>
      </c>
      <c r="W559" s="190">
        <f>W142*(1+$V$535)</f>
        <v>370383.86</v>
      </c>
      <c r="X559" s="261" t="str">
        <f>X142</f>
        <v>sy</v>
      </c>
      <c r="Y559" s="230">
        <f>Y142</f>
        <v>21800</v>
      </c>
      <c r="Z559" s="242">
        <f t="shared" si="17"/>
        <v>16.990085321100917</v>
      </c>
      <c r="AA559" s="190">
        <f>AA142*(1+$Z$535)</f>
        <v>370383.86</v>
      </c>
      <c r="AB559" s="261" t="str">
        <f>AB142</f>
        <v>sy</v>
      </c>
      <c r="AC559" s="230">
        <f>AC142</f>
        <v>21800</v>
      </c>
      <c r="AD559" s="242">
        <f t="shared" si="18"/>
        <v>16.990085321100917</v>
      </c>
      <c r="AE559" s="190">
        <f>AE142*(1+$AD$535)</f>
        <v>370383.86</v>
      </c>
    </row>
    <row r="560" spans="1:31" ht="11.25">
      <c r="A560" s="376"/>
      <c r="B560" s="377"/>
      <c r="C560" s="15" t="str">
        <f>B144</f>
        <v>1525 Portal (Phase IV)</v>
      </c>
      <c r="H560" s="478">
        <f>H167*(1+$N$535)</f>
        <v>253342.8</v>
      </c>
      <c r="I560" s="87">
        <f>I167*(1+$N$535)</f>
        <v>120177.59999999999</v>
      </c>
      <c r="J560" s="87">
        <f>J167*(1+$N$535)</f>
        <v>71910</v>
      </c>
      <c r="K560" s="480">
        <f t="shared" si="14"/>
        <v>445430.39999999997</v>
      </c>
      <c r="L560" s="398" t="str">
        <f>L167</f>
        <v>cy</v>
      </c>
      <c r="M560" s="56">
        <f>M167</f>
        <v>18410</v>
      </c>
      <c r="N560" s="399">
        <f t="shared" si="21"/>
        <v>24.19502444323737</v>
      </c>
      <c r="O560" s="32">
        <f t="shared" si="11"/>
        <v>445430.39999999997</v>
      </c>
      <c r="P560" s="29" t="str">
        <f>P167</f>
        <v>cy</v>
      </c>
      <c r="Q560" s="56">
        <f>Q167</f>
        <v>18410</v>
      </c>
      <c r="R560" s="399">
        <f t="shared" si="15"/>
        <v>31.050281368821295</v>
      </c>
      <c r="S560" s="190">
        <f>S167*(1+$R$535)</f>
        <v>571635.68</v>
      </c>
      <c r="T560" s="26" t="str">
        <f>T167</f>
        <v>cy</v>
      </c>
      <c r="U560" s="230">
        <f>U167</f>
        <v>18410</v>
      </c>
      <c r="V560" s="242">
        <f t="shared" si="16"/>
        <v>32.279562737642586</v>
      </c>
      <c r="W560" s="190">
        <f>W167*(1+$V$535)</f>
        <v>594266.75</v>
      </c>
      <c r="X560" s="261" t="str">
        <f>X167</f>
        <v>cy</v>
      </c>
      <c r="Y560" s="230">
        <f>Y167</f>
        <v>18410</v>
      </c>
      <c r="Z560" s="242">
        <f t="shared" si="17"/>
        <v>32.279562737642586</v>
      </c>
      <c r="AA560" s="190">
        <f>AA167*(1+$Z$535)</f>
        <v>594266.75</v>
      </c>
      <c r="AB560" s="261" t="str">
        <f>AB167</f>
        <v>cy</v>
      </c>
      <c r="AC560" s="230">
        <f>AC167</f>
        <v>18410</v>
      </c>
      <c r="AD560" s="242">
        <f t="shared" si="18"/>
        <v>32.279562737642586</v>
      </c>
      <c r="AE560" s="190">
        <f>AE167*(1+$AD$535)</f>
        <v>594266.75</v>
      </c>
    </row>
    <row r="561" spans="1:31" ht="11.25">
      <c r="A561" s="376"/>
      <c r="B561" s="15" t="str">
        <f>B169</f>
        <v>Subtotal Underground Mine Reclamation</v>
      </c>
      <c r="H561" s="478">
        <f>SUM(H554:H560)</f>
        <v>1118509.2</v>
      </c>
      <c r="I561" s="87">
        <f>SUM(I554:I560)</f>
        <v>563508</v>
      </c>
      <c r="J561" s="87">
        <f>SUM(J554:J560)</f>
        <v>578346</v>
      </c>
      <c r="K561" s="480">
        <f t="shared" si="14"/>
        <v>2260363.2</v>
      </c>
      <c r="L561" s="55" t="s">
        <v>213</v>
      </c>
      <c r="M561" s="57">
        <f>M556+M560</f>
        <v>18610</v>
      </c>
      <c r="N561" s="399">
        <f t="shared" si="21"/>
        <v>121.45960236432026</v>
      </c>
      <c r="O561" s="32">
        <f>SUM(O554:O560)</f>
        <v>2260363.2</v>
      </c>
      <c r="P561" s="29" t="s">
        <v>213</v>
      </c>
      <c r="Q561" s="56">
        <f>Q556+Q560</f>
        <v>18610</v>
      </c>
      <c r="R561" s="26">
        <f t="shared" si="15"/>
        <v>155.87315636754434</v>
      </c>
      <c r="S561" s="190">
        <f>SUM(S554:S560)</f>
        <v>2900799.44</v>
      </c>
      <c r="T561" s="26" t="s">
        <v>213</v>
      </c>
      <c r="U561" s="230">
        <f>U556+U560</f>
        <v>18610</v>
      </c>
      <c r="V561" s="189">
        <f t="shared" si="16"/>
        <v>160.04824449220848</v>
      </c>
      <c r="W561" s="190">
        <f>SUM(W554:W560)</f>
        <v>2978497.83</v>
      </c>
      <c r="X561" s="261" t="s">
        <v>213</v>
      </c>
      <c r="Y561" s="230">
        <f>Y556+Y560</f>
        <v>18610</v>
      </c>
      <c r="Z561" s="189">
        <f t="shared" si="17"/>
        <v>160.04824449220848</v>
      </c>
      <c r="AA561" s="190">
        <f>SUM(AA554:AA560)</f>
        <v>2978497.83</v>
      </c>
      <c r="AB561" s="261" t="s">
        <v>213</v>
      </c>
      <c r="AC561" s="230">
        <f>AC556+AC560</f>
        <v>18610</v>
      </c>
      <c r="AD561" s="189">
        <f t="shared" si="18"/>
        <v>160.04824449220848</v>
      </c>
      <c r="AE561" s="190">
        <f>SUM(AE554:AE560)</f>
        <v>2978497.83</v>
      </c>
    </row>
    <row r="562" spans="1:31" ht="11.25">
      <c r="A562" s="376"/>
      <c r="H562" s="478"/>
      <c r="I562" s="87"/>
      <c r="J562" s="87"/>
      <c r="K562" s="480"/>
      <c r="L562" s="385"/>
      <c r="M562" s="380"/>
      <c r="N562" s="381"/>
      <c r="O562" s="379"/>
      <c r="P562" s="378"/>
      <c r="Q562" s="332"/>
      <c r="R562" s="381"/>
      <c r="S562" s="383"/>
      <c r="T562" s="386"/>
      <c r="U562" s="387"/>
      <c r="V562" s="189"/>
      <c r="W562" s="383"/>
      <c r="X562" s="388"/>
      <c r="Y562" s="387"/>
      <c r="Z562" s="382"/>
      <c r="AA562" s="383"/>
      <c r="AB562" s="384"/>
      <c r="AC562" s="387"/>
      <c r="AD562" s="382"/>
      <c r="AE562" s="383"/>
    </row>
    <row r="563" spans="1:31" ht="11.25">
      <c r="A563" s="97" t="s">
        <v>105</v>
      </c>
      <c r="B563" s="15" t="str">
        <f>B171</f>
        <v>Facilities, Roads,and Other</v>
      </c>
      <c r="H563" s="478"/>
      <c r="I563" s="87"/>
      <c r="J563" s="87"/>
      <c r="K563" s="480"/>
      <c r="L563" s="109"/>
      <c r="M563" s="380"/>
      <c r="N563" s="381"/>
      <c r="O563" s="379"/>
      <c r="P563" s="435"/>
      <c r="Q563" s="332"/>
      <c r="R563" s="381"/>
      <c r="S563" s="383"/>
      <c r="T563" s="386"/>
      <c r="U563" s="387"/>
      <c r="V563" s="382"/>
      <c r="W563" s="383"/>
      <c r="X563" s="388"/>
      <c r="Y563" s="387"/>
      <c r="Z563" s="382"/>
      <c r="AA563" s="383"/>
      <c r="AB563" s="244"/>
      <c r="AC563" s="387"/>
      <c r="AD563" s="382"/>
      <c r="AE563" s="383"/>
    </row>
    <row r="564" spans="1:31" ht="11.25">
      <c r="A564" s="97"/>
      <c r="C564" s="15" t="str">
        <f>B172</f>
        <v>Roads from Advanced Exploration (Phase III)</v>
      </c>
      <c r="H564" s="478">
        <f>H191*(1+$N$535)</f>
        <v>7816.799999999999</v>
      </c>
      <c r="I564" s="87">
        <f>I191*(1+$N$535)</f>
        <v>6627.599999999999</v>
      </c>
      <c r="J564" s="87">
        <f>J191*(1+$N$535)</f>
        <v>2694</v>
      </c>
      <c r="K564" s="480">
        <f aca="true" t="shared" si="26" ref="K564:K578">SUM(H564:J564)</f>
        <v>17138.399999999998</v>
      </c>
      <c r="L564" s="55" t="str">
        <f>L191</f>
        <v>cy</v>
      </c>
      <c r="M564" s="57">
        <f>M191</f>
        <v>8700</v>
      </c>
      <c r="N564" s="399">
        <f aca="true" t="shared" si="27" ref="N564:N583">O564/M564</f>
        <v>1.9699310344827583</v>
      </c>
      <c r="O564" s="32">
        <f t="shared" si="11"/>
        <v>17138.399999999998</v>
      </c>
      <c r="P564" s="29" t="str">
        <f>P191</f>
        <v>cy</v>
      </c>
      <c r="Q564" s="56">
        <f>Q191</f>
        <v>8700</v>
      </c>
      <c r="R564" s="399">
        <f aca="true" t="shared" si="28" ref="R564:R578">S564/Q564</f>
        <v>2.52807816091954</v>
      </c>
      <c r="S564" s="190">
        <f>S191*(1+$R$535)</f>
        <v>21994.28</v>
      </c>
      <c r="T564" s="26" t="str">
        <f>T191</f>
        <v>cy</v>
      </c>
      <c r="U564" s="230">
        <f>U191</f>
        <v>8700</v>
      </c>
      <c r="V564" s="399">
        <f aca="true" t="shared" si="29" ref="V564:V577">W564/U564</f>
        <v>4.647436781609196</v>
      </c>
      <c r="W564" s="190">
        <f>W191*(1+$V$535)</f>
        <v>40432.700000000004</v>
      </c>
      <c r="X564" s="261" t="str">
        <f>X191</f>
        <v>cy</v>
      </c>
      <c r="Y564" s="230">
        <f>Y191</f>
        <v>8700</v>
      </c>
      <c r="Z564" s="242">
        <f aca="true" t="shared" si="30" ref="Z564:Z578">AA564/Y564</f>
        <v>4.647436781609196</v>
      </c>
      <c r="AA564" s="190">
        <f>AA191*(1+$Z$535)</f>
        <v>40432.700000000004</v>
      </c>
      <c r="AB564" s="261" t="str">
        <f>AB191</f>
        <v>cy</v>
      </c>
      <c r="AC564" s="230">
        <f>AC191</f>
        <v>8700</v>
      </c>
      <c r="AD564" s="242">
        <f aca="true" t="shared" si="31" ref="AD564:AD578">AE564/AC564</f>
        <v>4.647436781609196</v>
      </c>
      <c r="AE564" s="190">
        <f>AE191*(1+$AD$535)</f>
        <v>40432.700000000004</v>
      </c>
    </row>
    <row r="565" spans="1:31" ht="11.25">
      <c r="A565" s="97"/>
      <c r="C565" s="15" t="str">
        <f>B193</f>
        <v>Airstrip</v>
      </c>
      <c r="H565" s="478">
        <f>H215*(1+$N$535)</f>
        <v>40360.799999999996</v>
      </c>
      <c r="I565" s="87">
        <f>I215*(1+$N$535)</f>
        <v>29904</v>
      </c>
      <c r="J565" s="87">
        <f>J215*(1+$N$535)</f>
        <v>0</v>
      </c>
      <c r="K565" s="480">
        <f t="shared" si="26"/>
        <v>70264.79999999999</v>
      </c>
      <c r="L565" s="55" t="str">
        <f>L215</f>
        <v>cy</v>
      </c>
      <c r="M565" s="57">
        <f>M215</f>
        <v>12437</v>
      </c>
      <c r="N565" s="399">
        <f t="shared" si="27"/>
        <v>5.649658277719706</v>
      </c>
      <c r="O565" s="32">
        <f t="shared" si="11"/>
        <v>70264.79999999999</v>
      </c>
      <c r="P565" s="29" t="str">
        <f>P215</f>
        <v>cy</v>
      </c>
      <c r="Q565" s="56">
        <f>Q215</f>
        <v>12437</v>
      </c>
      <c r="R565" s="399">
        <f t="shared" si="28"/>
        <v>7.250394789740291</v>
      </c>
      <c r="S565" s="190">
        <f>S215*(1+$R$535)</f>
        <v>90173.16</v>
      </c>
      <c r="T565" s="26" t="str">
        <f>T215</f>
        <v>cy</v>
      </c>
      <c r="U565" s="230">
        <f>U215</f>
        <v>12437</v>
      </c>
      <c r="V565" s="399">
        <f t="shared" si="29"/>
        <v>7.621966068987699</v>
      </c>
      <c r="W565" s="190">
        <f>W215*(1+$V$535)</f>
        <v>94794.392</v>
      </c>
      <c r="X565" s="261" t="str">
        <f>X215</f>
        <v>cy</v>
      </c>
      <c r="Y565" s="230">
        <f>Y215</f>
        <v>12437</v>
      </c>
      <c r="Z565" s="242">
        <f t="shared" si="30"/>
        <v>7.621966068987699</v>
      </c>
      <c r="AA565" s="190">
        <f>AA215*(1+$Z$535)</f>
        <v>94794.392</v>
      </c>
      <c r="AB565" s="261" t="str">
        <f>AB215</f>
        <v>cy</v>
      </c>
      <c r="AC565" s="230">
        <f>AC215</f>
        <v>12437</v>
      </c>
      <c r="AD565" s="242">
        <f t="shared" si="31"/>
        <v>7.621966068987699</v>
      </c>
      <c r="AE565" s="190">
        <f>AE215*(1+$AD$535)</f>
        <v>94794.392</v>
      </c>
    </row>
    <row r="566" spans="1:31" ht="11.25">
      <c r="A566" s="376"/>
      <c r="B566" s="377"/>
      <c r="C566" s="15" t="str">
        <f>B217</f>
        <v>On-Site Roads (Phase IV)</v>
      </c>
      <c r="H566" s="478">
        <f>H237*(1+$N$535)</f>
        <v>211491.6</v>
      </c>
      <c r="I566" s="87">
        <f>I237*(1+$N$535)</f>
        <v>270763.2</v>
      </c>
      <c r="J566" s="87">
        <f>J237*(1+$N$535)</f>
        <v>5641.2</v>
      </c>
      <c r="K566" s="480">
        <f t="shared" si="26"/>
        <v>487896.00000000006</v>
      </c>
      <c r="L566" s="55" t="str">
        <f>L237</f>
        <v>cy</v>
      </c>
      <c r="M566" s="57">
        <f>M237</f>
        <v>314745</v>
      </c>
      <c r="N566" s="399">
        <f t="shared" si="27"/>
        <v>1.5501310584759092</v>
      </c>
      <c r="O566" s="32">
        <f t="shared" si="11"/>
        <v>487896.00000000006</v>
      </c>
      <c r="P566" s="29" t="str">
        <f>P237</f>
        <v>cy</v>
      </c>
      <c r="Q566" s="56">
        <f>Q237</f>
        <v>314745</v>
      </c>
      <c r="R566" s="399">
        <f t="shared" si="28"/>
        <v>1.9893348583774169</v>
      </c>
      <c r="S566" s="190">
        <f>S237*(1+$R$535)</f>
        <v>626133.2000000001</v>
      </c>
      <c r="T566" s="26" t="str">
        <f>T237</f>
        <v>cy</v>
      </c>
      <c r="U566" s="230">
        <f>U237</f>
        <v>314745</v>
      </c>
      <c r="V566" s="399">
        <f t="shared" si="29"/>
        <v>2.066025385629637</v>
      </c>
      <c r="W566" s="190">
        <f>W237*(1+$V$535)</f>
        <v>650271.16</v>
      </c>
      <c r="X566" s="261" t="str">
        <f>X237</f>
        <v>cy</v>
      </c>
      <c r="Y566" s="230">
        <f>Y237</f>
        <v>314745</v>
      </c>
      <c r="Z566" s="242">
        <f t="shared" si="30"/>
        <v>2.066025385629637</v>
      </c>
      <c r="AA566" s="190">
        <f>AA237*(1+$Z$535)</f>
        <v>650271.16</v>
      </c>
      <c r="AB566" s="261" t="str">
        <f>AB237</f>
        <v>cy</v>
      </c>
      <c r="AC566" s="230">
        <f>AC237</f>
        <v>314745</v>
      </c>
      <c r="AD566" s="242">
        <f t="shared" si="31"/>
        <v>2.066025385629637</v>
      </c>
      <c r="AE566" s="190">
        <f>AE237*(1+$AD$535)</f>
        <v>650271.16</v>
      </c>
    </row>
    <row r="567" spans="1:31" ht="11.25">
      <c r="A567" s="376"/>
      <c r="B567" s="377"/>
      <c r="C567" s="15" t="str">
        <f>B239</f>
        <v>Advance Exploration Distrubance (Phase I)</v>
      </c>
      <c r="H567" s="478">
        <f>H261*(1+$N$535)</f>
        <v>51195.6</v>
      </c>
      <c r="I567" s="87">
        <f>I261*(1+$N$535)</f>
        <v>31375.199999999997</v>
      </c>
      <c r="J567" s="87">
        <f>J261*(1+$N$535)</f>
        <v>255.6</v>
      </c>
      <c r="K567" s="480">
        <f t="shared" si="26"/>
        <v>82826.4</v>
      </c>
      <c r="L567" s="55" t="str">
        <f>L261</f>
        <v>cy</v>
      </c>
      <c r="M567" s="57">
        <f>M261</f>
        <v>14080</v>
      </c>
      <c r="N567" s="399">
        <f t="shared" si="27"/>
        <v>5.8825568181818175</v>
      </c>
      <c r="O567" s="32">
        <f t="shared" si="11"/>
        <v>82826.4</v>
      </c>
      <c r="P567" s="29" t="str">
        <f>P261</f>
        <v>cy</v>
      </c>
      <c r="Q567" s="56">
        <f>Q261</f>
        <v>14080</v>
      </c>
      <c r="R567" s="399">
        <f t="shared" si="28"/>
        <v>7.54928125</v>
      </c>
      <c r="S567" s="190">
        <f>S261*(1+$R$535)</f>
        <v>106293.88</v>
      </c>
      <c r="T567" s="26" t="str">
        <f>T261</f>
        <v>cy</v>
      </c>
      <c r="U567" s="230">
        <f>U261</f>
        <v>14080</v>
      </c>
      <c r="V567" s="399">
        <f t="shared" si="29"/>
        <v>8.58440625</v>
      </c>
      <c r="W567" s="190">
        <f>W261*(1+$V$535)</f>
        <v>120868.44</v>
      </c>
      <c r="X567" s="261" t="str">
        <f>X261</f>
        <v>cy</v>
      </c>
      <c r="Y567" s="230">
        <f>Y261</f>
        <v>14080</v>
      </c>
      <c r="Z567" s="242">
        <f t="shared" si="30"/>
        <v>8.58440625</v>
      </c>
      <c r="AA567" s="190">
        <f>AA261*(1+$Z$535)</f>
        <v>120868.44</v>
      </c>
      <c r="AB567" s="261" t="str">
        <f>AB261</f>
        <v>cy</v>
      </c>
      <c r="AC567" s="230">
        <f>AC261</f>
        <v>14080</v>
      </c>
      <c r="AD567" s="242">
        <f t="shared" si="31"/>
        <v>8.58440625</v>
      </c>
      <c r="AE567" s="190">
        <f>AE261*(1+$AD$535)</f>
        <v>120868.44</v>
      </c>
    </row>
    <row r="568" spans="1:31" ht="11.25">
      <c r="A568" s="376"/>
      <c r="B568" s="377"/>
      <c r="C568" s="15" t="str">
        <f>B263</f>
        <v>Construction Facilities Near 1525 (Phase I)</v>
      </c>
      <c r="H568" s="478">
        <f>H285*(1+$N$535)</f>
        <v>227554.8</v>
      </c>
      <c r="I568" s="87">
        <f>I285*(1+$N$535)</f>
        <v>127518</v>
      </c>
      <c r="J568" s="87">
        <f>J285*(1+$N$535)</f>
        <v>12000</v>
      </c>
      <c r="K568" s="480">
        <f t="shared" si="26"/>
        <v>367072.8</v>
      </c>
      <c r="L568" s="55" t="str">
        <f>L285</f>
        <v>lot</v>
      </c>
      <c r="M568" s="57">
        <f>M285</f>
        <v>6</v>
      </c>
      <c r="N568" s="26">
        <f t="shared" si="27"/>
        <v>61178.799999999996</v>
      </c>
      <c r="O568" s="32">
        <f t="shared" si="11"/>
        <v>367072.8</v>
      </c>
      <c r="P568" s="29" t="str">
        <f>P285</f>
        <v>lot</v>
      </c>
      <c r="Q568" s="56">
        <f>Q285</f>
        <v>6</v>
      </c>
      <c r="R568" s="26">
        <f t="shared" si="28"/>
        <v>78512.79333333333</v>
      </c>
      <c r="S568" s="190">
        <f>S285*(1+$R$535)</f>
        <v>471076.76</v>
      </c>
      <c r="T568" s="26" t="str">
        <f>T285</f>
        <v>lot</v>
      </c>
      <c r="U568" s="230">
        <f>U285</f>
        <v>6</v>
      </c>
      <c r="V568" s="26">
        <f t="shared" si="29"/>
        <v>78512.79333333333</v>
      </c>
      <c r="W568" s="190">
        <f>W285*(1+$V$535)</f>
        <v>471076.76</v>
      </c>
      <c r="X568" s="261" t="str">
        <f>X285</f>
        <v>lot</v>
      </c>
      <c r="Y568" s="230">
        <f>Y285</f>
        <v>6</v>
      </c>
      <c r="Z568" s="189">
        <f t="shared" si="30"/>
        <v>78512.79333333333</v>
      </c>
      <c r="AA568" s="190">
        <f>AA285*(1+$Z$535)</f>
        <v>471076.76</v>
      </c>
      <c r="AB568" s="261" t="str">
        <f>AB285</f>
        <v>lot</v>
      </c>
      <c r="AC568" s="230">
        <f>AC285</f>
        <v>6</v>
      </c>
      <c r="AD568" s="189">
        <f t="shared" si="31"/>
        <v>78512.79333333333</v>
      </c>
      <c r="AE568" s="190">
        <f>AE285*(1+$AD$535)</f>
        <v>471076.76</v>
      </c>
    </row>
    <row r="569" spans="1:31" ht="11.25">
      <c r="A569" s="376"/>
      <c r="B569" s="377"/>
      <c r="C569" s="15" t="str">
        <f>B287</f>
        <v>Areas Adjacent to Airstrip (Phase I)</v>
      </c>
      <c r="H569" s="478">
        <f>H309*(1+$N$535)</f>
        <v>21246</v>
      </c>
      <c r="I569" s="87">
        <f>I309*(1+$N$535)</f>
        <v>11143.199999999999</v>
      </c>
      <c r="J569" s="87">
        <f>J309*(1+$N$535)</f>
        <v>0</v>
      </c>
      <c r="K569" s="480">
        <f t="shared" si="26"/>
        <v>32389.199999999997</v>
      </c>
      <c r="L569" s="55" t="str">
        <f>L309</f>
        <v>cy</v>
      </c>
      <c r="M569" s="57">
        <f>M309</f>
        <v>880</v>
      </c>
      <c r="N569" s="399">
        <f t="shared" si="27"/>
        <v>36.80590909090909</v>
      </c>
      <c r="O569" s="32">
        <f t="shared" si="11"/>
        <v>32389.199999999997</v>
      </c>
      <c r="P569" s="29" t="str">
        <f>P309</f>
        <v>cy</v>
      </c>
      <c r="Q569" s="56">
        <f>Q309</f>
        <v>880</v>
      </c>
      <c r="R569" s="399">
        <f t="shared" si="28"/>
        <v>47.234249999999996</v>
      </c>
      <c r="S569" s="190">
        <f>S309*(1+$R$535)</f>
        <v>41566.14</v>
      </c>
      <c r="T569" s="26" t="str">
        <f>T309</f>
        <v>cy</v>
      </c>
      <c r="U569" s="230">
        <f>U309</f>
        <v>880</v>
      </c>
      <c r="V569" s="399">
        <f t="shared" si="29"/>
        <v>47.234249999999996</v>
      </c>
      <c r="W569" s="190">
        <f>W309*(1+$V$535)</f>
        <v>41566.14</v>
      </c>
      <c r="X569" s="261" t="str">
        <f>X309</f>
        <v>cy</v>
      </c>
      <c r="Y569" s="230">
        <f>Y309</f>
        <v>880</v>
      </c>
      <c r="Z569" s="242">
        <f t="shared" si="30"/>
        <v>47.234249999999996</v>
      </c>
      <c r="AA569" s="190">
        <f>AA309*(1+$Z$535)</f>
        <v>41566.14</v>
      </c>
      <c r="AB569" s="261" t="str">
        <f>AB309</f>
        <v>cy</v>
      </c>
      <c r="AC569" s="230">
        <f>AC309</f>
        <v>880</v>
      </c>
      <c r="AD569" s="242">
        <f t="shared" si="31"/>
        <v>47.234249999999996</v>
      </c>
      <c r="AE569" s="190">
        <f>AE309*(1+$AD$535)</f>
        <v>41566.14</v>
      </c>
    </row>
    <row r="570" spans="1:31" ht="11.25">
      <c r="A570" s="376"/>
      <c r="B570" s="377"/>
      <c r="C570" s="15" t="str">
        <f>B311</f>
        <v>Off River Treatment (Phase I)</v>
      </c>
      <c r="H570" s="478">
        <f>H333*(1+$N$535)</f>
        <v>43640.4</v>
      </c>
      <c r="I570" s="87">
        <f>I333*(1+$N$535)</f>
        <v>8568</v>
      </c>
      <c r="J570" s="87">
        <f>J333*(1+$N$535)</f>
        <v>0</v>
      </c>
      <c r="K570" s="480">
        <f t="shared" si="26"/>
        <v>52208.4</v>
      </c>
      <c r="L570" s="55" t="str">
        <f>L333</f>
        <v>lot</v>
      </c>
      <c r="M570" s="57">
        <f>M333</f>
        <v>5</v>
      </c>
      <c r="N570" s="26">
        <f t="shared" si="27"/>
        <v>10441.68</v>
      </c>
      <c r="O570" s="32">
        <f t="shared" si="11"/>
        <v>52208.4</v>
      </c>
      <c r="P570" s="29" t="str">
        <f>P333</f>
        <v>lot</v>
      </c>
      <c r="Q570" s="56">
        <f>Q333</f>
        <v>5</v>
      </c>
      <c r="R570" s="26">
        <f t="shared" si="28"/>
        <v>13400.155999999999</v>
      </c>
      <c r="S570" s="190">
        <f>S333*(1+$R$535)</f>
        <v>67000.78</v>
      </c>
      <c r="T570" s="26" t="str">
        <f>T333</f>
        <v>lot</v>
      </c>
      <c r="U570" s="230">
        <f>U333</f>
        <v>5</v>
      </c>
      <c r="V570" s="26">
        <f t="shared" si="29"/>
        <v>13400.155999999999</v>
      </c>
      <c r="W570" s="190">
        <f>W333*(1+$V$535)</f>
        <v>67000.78</v>
      </c>
      <c r="X570" s="261" t="str">
        <f>X333</f>
        <v>lot</v>
      </c>
      <c r="Y570" s="230">
        <f>Y333</f>
        <v>5</v>
      </c>
      <c r="Z570" s="189">
        <f t="shared" si="30"/>
        <v>13400.155999999999</v>
      </c>
      <c r="AA570" s="190">
        <f>AA333*(1+$Z$535)</f>
        <v>67000.78</v>
      </c>
      <c r="AB570" s="261" t="str">
        <f>AB333</f>
        <v>lot</v>
      </c>
      <c r="AC570" s="230">
        <f>AC333</f>
        <v>5</v>
      </c>
      <c r="AD570" s="189">
        <f t="shared" si="31"/>
        <v>13400.155999999999</v>
      </c>
      <c r="AE570" s="190">
        <f>AE333*(1+$AD$535)</f>
        <v>67000.78</v>
      </c>
    </row>
    <row r="571" spans="1:31" ht="11.25">
      <c r="A571" s="376"/>
      <c r="B571" s="377"/>
      <c r="C571" s="15" t="str">
        <f>B335</f>
        <v>Growth Media Stockpiles (Phase I, Water Quality Assurance)</v>
      </c>
      <c r="H571" s="478">
        <f>H357*(1+$N$535)</f>
        <v>20858.399999999998</v>
      </c>
      <c r="I571" s="87">
        <f>I357*(1+$N$535)</f>
        <v>9770.4</v>
      </c>
      <c r="J571" s="87">
        <f>J357*(1+$N$535)</f>
        <v>3600</v>
      </c>
      <c r="K571" s="480">
        <f t="shared" si="26"/>
        <v>34228.799999999996</v>
      </c>
      <c r="L571" s="55" t="str">
        <f>L357</f>
        <v>lot</v>
      </c>
      <c r="M571" s="57">
        <f>M357</f>
        <v>1</v>
      </c>
      <c r="N571" s="26">
        <f t="shared" si="27"/>
        <v>34228.799999999996</v>
      </c>
      <c r="O571" s="32">
        <f t="shared" si="11"/>
        <v>34228.799999999996</v>
      </c>
      <c r="P571" s="29" t="str">
        <f>P357</f>
        <v>lot</v>
      </c>
      <c r="Q571" s="56">
        <f>Q357</f>
        <v>1</v>
      </c>
      <c r="R571" s="26">
        <f t="shared" si="28"/>
        <v>43926.96</v>
      </c>
      <c r="S571" s="190">
        <f>S357*(1+$R$535)</f>
        <v>43926.96</v>
      </c>
      <c r="T571" s="26" t="str">
        <f>T357</f>
        <v>lot</v>
      </c>
      <c r="U571" s="230">
        <f>U357</f>
        <v>1</v>
      </c>
      <c r="V571" s="26">
        <f t="shared" si="29"/>
        <v>43926.96</v>
      </c>
      <c r="W571" s="190">
        <f>W357*(1+$V$535)</f>
        <v>43926.96</v>
      </c>
      <c r="X571" s="261" t="str">
        <f>X357</f>
        <v>lot</v>
      </c>
      <c r="Y571" s="230">
        <f>Y357</f>
        <v>1</v>
      </c>
      <c r="Z571" s="189">
        <f t="shared" si="30"/>
        <v>43926.96</v>
      </c>
      <c r="AA571" s="190">
        <f>AA357*(1+$Z$535)</f>
        <v>43926.96</v>
      </c>
      <c r="AB571" s="261" t="str">
        <f>AB357</f>
        <v>lot</v>
      </c>
      <c r="AC571" s="230">
        <f>AC357</f>
        <v>1</v>
      </c>
      <c r="AD571" s="189">
        <f t="shared" si="31"/>
        <v>43926.96</v>
      </c>
      <c r="AE571" s="190">
        <f>AE357*(1+$AD$535)</f>
        <v>43926.96</v>
      </c>
    </row>
    <row r="572" spans="1:31" ht="11.25">
      <c r="A572" s="376"/>
      <c r="B572" s="377"/>
      <c r="C572" s="15" t="str">
        <f>B359</f>
        <v>Advance Exploration Distrubance (Phase II)</v>
      </c>
      <c r="D572" s="377"/>
      <c r="E572" s="377"/>
      <c r="F572" s="377"/>
      <c r="G572" s="377"/>
      <c r="H572" s="478">
        <f>H382*(1+$N$535)</f>
        <v>455452.8</v>
      </c>
      <c r="I572" s="87">
        <f>I382*(1+$N$535)</f>
        <v>395646</v>
      </c>
      <c r="J572" s="87">
        <f>J382*(1+$N$535)</f>
        <v>62124</v>
      </c>
      <c r="K572" s="480">
        <f t="shared" si="26"/>
        <v>913222.8</v>
      </c>
      <c r="L572" s="55" t="str">
        <f>L382</f>
        <v>cy</v>
      </c>
      <c r="M572" s="57">
        <f>M382</f>
        <v>116570</v>
      </c>
      <c r="N572" s="399">
        <f t="shared" si="27"/>
        <v>7.834115123959853</v>
      </c>
      <c r="O572" s="32">
        <f t="shared" si="11"/>
        <v>913222.8</v>
      </c>
      <c r="P572" s="29" t="str">
        <f>P382</f>
        <v>cy</v>
      </c>
      <c r="Q572" s="56">
        <f>Q382</f>
        <v>116570</v>
      </c>
      <c r="R572" s="399">
        <f t="shared" si="28"/>
        <v>10.053781075748477</v>
      </c>
      <c r="S572" s="190">
        <f>S382*(1+$R$535)</f>
        <v>1171969.26</v>
      </c>
      <c r="T572" s="26" t="str">
        <f>T382</f>
        <v>cy</v>
      </c>
      <c r="U572" s="230">
        <f>U382</f>
        <v>116570</v>
      </c>
      <c r="V572" s="399">
        <f t="shared" si="29"/>
        <v>11.081711589602815</v>
      </c>
      <c r="W572" s="190">
        <f>W382*(1+$V$535)</f>
        <v>1291795.12</v>
      </c>
      <c r="X572" s="261" t="str">
        <f>X382</f>
        <v>cy</v>
      </c>
      <c r="Y572" s="230">
        <f>Y382</f>
        <v>116570</v>
      </c>
      <c r="Z572" s="242">
        <f t="shared" si="30"/>
        <v>11.081711589602815</v>
      </c>
      <c r="AA572" s="190">
        <f>AA382*(1+$Z$535)</f>
        <v>1291795.12</v>
      </c>
      <c r="AB572" s="261" t="str">
        <f>AB382</f>
        <v>cy</v>
      </c>
      <c r="AC572" s="230">
        <f>AC382</f>
        <v>116570</v>
      </c>
      <c r="AD572" s="242">
        <f t="shared" si="31"/>
        <v>11.081711589602815</v>
      </c>
      <c r="AE572" s="190">
        <f>AE382*(1+$AD$535)</f>
        <v>1291795.12</v>
      </c>
    </row>
    <row r="573" spans="1:31" ht="11.25">
      <c r="A573" s="376"/>
      <c r="B573" s="377"/>
      <c r="C573" s="15" t="str">
        <f>B384</f>
        <v>Construction Facilities near 1525 (Phase III)</v>
      </c>
      <c r="H573" s="478">
        <f>H406*(1+$N$535)</f>
        <v>104294.4</v>
      </c>
      <c r="I573" s="87">
        <f>I406*(1+$N$535)</f>
        <v>67346.4</v>
      </c>
      <c r="J573" s="87">
        <f>J406*(1+$N$535)</f>
        <v>1116</v>
      </c>
      <c r="K573" s="480">
        <f t="shared" si="26"/>
        <v>172756.8</v>
      </c>
      <c r="L573" s="55" t="str">
        <f>L406</f>
        <v>cy</v>
      </c>
      <c r="M573" s="57">
        <f>M406</f>
        <v>31000</v>
      </c>
      <c r="N573" s="399">
        <f t="shared" si="27"/>
        <v>5.5728</v>
      </c>
      <c r="O573" s="32">
        <f t="shared" si="11"/>
        <v>172756.8</v>
      </c>
      <c r="P573" s="29" t="str">
        <f>P406</f>
        <v>cy</v>
      </c>
      <c r="Q573" s="56">
        <f>Q406</f>
        <v>31000</v>
      </c>
      <c r="R573" s="399">
        <f t="shared" si="28"/>
        <v>7.15176</v>
      </c>
      <c r="S573" s="190">
        <f>S406*(1+$R$535)</f>
        <v>221704.56</v>
      </c>
      <c r="T573" s="26" t="str">
        <f>T406</f>
        <v>cy</v>
      </c>
      <c r="U573" s="230">
        <f>U406</f>
        <v>31000</v>
      </c>
      <c r="V573" s="399">
        <f t="shared" si="29"/>
        <v>9.26598129032258</v>
      </c>
      <c r="W573" s="190">
        <f>W406*(1+$V$535)</f>
        <v>287245.42</v>
      </c>
      <c r="X573" s="261" t="str">
        <f>X406</f>
        <v>cy</v>
      </c>
      <c r="Y573" s="230">
        <f>Y406</f>
        <v>31000</v>
      </c>
      <c r="Z573" s="242">
        <f t="shared" si="30"/>
        <v>9.26598129032258</v>
      </c>
      <c r="AA573" s="190">
        <f>AA406*(1+$Z$535)</f>
        <v>287245.42</v>
      </c>
      <c r="AB573" s="261" t="str">
        <f>AB406</f>
        <v>cy</v>
      </c>
      <c r="AC573" s="230">
        <f>AC406</f>
        <v>31000</v>
      </c>
      <c r="AD573" s="242">
        <f t="shared" si="31"/>
        <v>9.26598129032258</v>
      </c>
      <c r="AE573" s="190">
        <f>AE406*(1+$AD$535)</f>
        <v>287245.42</v>
      </c>
    </row>
    <row r="574" spans="1:31" ht="11.25">
      <c r="A574" s="376"/>
      <c r="B574" s="377"/>
      <c r="C574" s="15" t="str">
        <f>B408</f>
        <v>1525 Portal (Phase III)</v>
      </c>
      <c r="H574" s="478">
        <f>H430*(1+$N$535)</f>
        <v>38100</v>
      </c>
      <c r="I574" s="87">
        <f>I430*(1+$N$535)</f>
        <v>25437.6</v>
      </c>
      <c r="J574" s="87">
        <f>J430*(1+$N$535)</f>
        <v>302.4</v>
      </c>
      <c r="K574" s="480">
        <f t="shared" si="26"/>
        <v>63840</v>
      </c>
      <c r="L574" s="55" t="str">
        <f>L430</f>
        <v>cy</v>
      </c>
      <c r="M574" s="57">
        <f>M430</f>
        <v>11717</v>
      </c>
      <c r="N574" s="399">
        <f t="shared" si="27"/>
        <v>5.448493641717163</v>
      </c>
      <c r="O574" s="32">
        <f t="shared" si="11"/>
        <v>63840</v>
      </c>
      <c r="P574" s="29" t="str">
        <f>P430</f>
        <v>cy</v>
      </c>
      <c r="Q574" s="56">
        <f>Q430</f>
        <v>11717</v>
      </c>
      <c r="R574" s="399">
        <f t="shared" si="28"/>
        <v>6.99223350687036</v>
      </c>
      <c r="S574" s="190">
        <f>S430*(1+$R$535)</f>
        <v>81928</v>
      </c>
      <c r="T574" s="26" t="str">
        <f>T430</f>
        <v>cy</v>
      </c>
      <c r="U574" s="230">
        <f>U430</f>
        <v>11717</v>
      </c>
      <c r="V574" s="399">
        <f t="shared" si="29"/>
        <v>7.9933583681829825</v>
      </c>
      <c r="W574" s="190">
        <f>W430*(1+$V$535)</f>
        <v>93658.18000000001</v>
      </c>
      <c r="X574" s="261" t="str">
        <f>X430</f>
        <v>cy</v>
      </c>
      <c r="Y574" s="230">
        <f>Y430</f>
        <v>11717</v>
      </c>
      <c r="Z574" s="242">
        <f t="shared" si="30"/>
        <v>7.9933583681829825</v>
      </c>
      <c r="AA574" s="190">
        <f>AA430*(1+$Z$535)</f>
        <v>93658.18000000001</v>
      </c>
      <c r="AB574" s="261" t="str">
        <f>AB430</f>
        <v>cy</v>
      </c>
      <c r="AC574" s="230">
        <f>AC430</f>
        <v>11717</v>
      </c>
      <c r="AD574" s="242">
        <f t="shared" si="31"/>
        <v>7.9933583681829825</v>
      </c>
      <c r="AE574" s="190">
        <f>AE430*(1+$AD$535)</f>
        <v>93658.18000000001</v>
      </c>
    </row>
    <row r="575" spans="1:31" ht="11.25">
      <c r="A575" s="376"/>
      <c r="C575" s="15" t="str">
        <f>B432</f>
        <v>Areas Adjacent to Airstrip (Phase III)</v>
      </c>
      <c r="H575" s="478">
        <f>H454*(1+$N$535)</f>
        <v>117877.2</v>
      </c>
      <c r="I575" s="87">
        <f>I454*(1+$N$535)</f>
        <v>143820</v>
      </c>
      <c r="J575" s="87">
        <f>J454*(1+$N$535)</f>
        <v>4968</v>
      </c>
      <c r="K575" s="480">
        <f t="shared" si="26"/>
        <v>266665.2</v>
      </c>
      <c r="L575" s="55" t="str">
        <f>L454</f>
        <v>cy</v>
      </c>
      <c r="M575" s="57">
        <f>M454</f>
        <v>138000</v>
      </c>
      <c r="N575" s="399">
        <f t="shared" si="27"/>
        <v>1.9323565217391305</v>
      </c>
      <c r="O575" s="32">
        <f t="shared" si="11"/>
        <v>266665.2</v>
      </c>
      <c r="P575" s="29" t="str">
        <f>P454</f>
        <v>cy</v>
      </c>
      <c r="Q575" s="56">
        <f>Q454</f>
        <v>138000</v>
      </c>
      <c r="R575" s="399">
        <f t="shared" si="28"/>
        <v>2.479857536231884</v>
      </c>
      <c r="S575" s="190">
        <f>S454*(1+$R$535)</f>
        <v>342220.34</v>
      </c>
      <c r="T575" s="26" t="str">
        <f>T454</f>
        <v>cy</v>
      </c>
      <c r="U575" s="230">
        <f>U454</f>
        <v>138000</v>
      </c>
      <c r="V575" s="399">
        <f t="shared" si="29"/>
        <v>4.5588575362318835</v>
      </c>
      <c r="W575" s="190">
        <f>W454*(1+$V$535)</f>
        <v>629122.34</v>
      </c>
      <c r="X575" s="261" t="str">
        <f>X454</f>
        <v>cy</v>
      </c>
      <c r="Y575" s="230">
        <f>Y454</f>
        <v>138000</v>
      </c>
      <c r="Z575" s="242">
        <f t="shared" si="30"/>
        <v>4.5588575362318835</v>
      </c>
      <c r="AA575" s="190">
        <f>AA454*(1+$Z$535)</f>
        <v>629122.34</v>
      </c>
      <c r="AB575" s="261" t="str">
        <f>AB454</f>
        <v>cy</v>
      </c>
      <c r="AC575" s="230">
        <f>AC454</f>
        <v>138000</v>
      </c>
      <c r="AD575" s="242">
        <f t="shared" si="31"/>
        <v>4.5588575362318835</v>
      </c>
      <c r="AE575" s="190">
        <f>AE454*(1+$AD$535)</f>
        <v>629122.34</v>
      </c>
    </row>
    <row r="576" spans="1:31" ht="11.25">
      <c r="A576" s="376"/>
      <c r="C576" s="15" t="str">
        <f>B456</f>
        <v>Mill, Filter and Paste Backfill Plants (Phase III)</v>
      </c>
      <c r="H576" s="478">
        <f>H478*(1+$N$535)</f>
        <v>3338631.6</v>
      </c>
      <c r="I576" s="87">
        <f>I478*(1+$N$535)</f>
        <v>1605338.4</v>
      </c>
      <c r="J576" s="87">
        <f>J478*(1+$N$535)</f>
        <v>54961.2</v>
      </c>
      <c r="K576" s="480">
        <f t="shared" si="26"/>
        <v>4998931.2</v>
      </c>
      <c r="L576" s="55" t="str">
        <f>L478</f>
        <v>cy</v>
      </c>
      <c r="M576" s="57">
        <f>M478</f>
        <v>79161</v>
      </c>
      <c r="N576" s="399">
        <f t="shared" si="27"/>
        <v>63.14891423807178</v>
      </c>
      <c r="O576" s="32">
        <f t="shared" si="11"/>
        <v>4998931.2</v>
      </c>
      <c r="P576" s="29" t="str">
        <f>P478</f>
        <v>cy</v>
      </c>
      <c r="Q576" s="56">
        <f>Q478</f>
        <v>79161</v>
      </c>
      <c r="R576" s="399">
        <f t="shared" si="28"/>
        <v>81.04110660552544</v>
      </c>
      <c r="S576" s="190">
        <f>S478*(1+$R$535)</f>
        <v>6415295.04</v>
      </c>
      <c r="T576" s="26" t="str">
        <f>T478</f>
        <v>cy</v>
      </c>
      <c r="U576" s="230">
        <f>U478</f>
        <v>79161</v>
      </c>
      <c r="V576" s="399">
        <f t="shared" si="29"/>
        <v>82.38285064615151</v>
      </c>
      <c r="W576" s="190">
        <f>W478*(1+$V$535)</f>
        <v>6521508.84</v>
      </c>
      <c r="X576" s="261" t="str">
        <f>X478</f>
        <v>cy</v>
      </c>
      <c r="Y576" s="230">
        <f>Y478</f>
        <v>79161</v>
      </c>
      <c r="Z576" s="242">
        <f t="shared" si="30"/>
        <v>82.38285064615151</v>
      </c>
      <c r="AA576" s="190">
        <f>AA478*(1+$Z$535)</f>
        <v>6521508.84</v>
      </c>
      <c r="AB576" s="261" t="str">
        <f>AB478</f>
        <v>cy</v>
      </c>
      <c r="AC576" s="230">
        <f>AC478</f>
        <v>79161</v>
      </c>
      <c r="AD576" s="242">
        <f t="shared" si="31"/>
        <v>82.38285064615151</v>
      </c>
      <c r="AE576" s="190">
        <f>AE478*(1+$AD$535)</f>
        <v>6521508.84</v>
      </c>
    </row>
    <row r="577" spans="1:31" ht="11.25">
      <c r="A577" s="376"/>
      <c r="C577" s="15" t="str">
        <f>B480</f>
        <v>Bench: Warehouse, Camp, Offices, Dry and Shop (Phase III and IV)</v>
      </c>
      <c r="H577" s="478">
        <f>H502*(1+$N$535)</f>
        <v>1043352</v>
      </c>
      <c r="I577" s="87">
        <f>I502*(1+$N$535)</f>
        <v>559285.2</v>
      </c>
      <c r="J577" s="87">
        <f>J502*(1+$N$535)</f>
        <v>2268</v>
      </c>
      <c r="K577" s="480">
        <f t="shared" si="26"/>
        <v>1604905.2</v>
      </c>
      <c r="L577" s="55" t="str">
        <f>L502</f>
        <v>cy</v>
      </c>
      <c r="M577" s="57">
        <f>M502</f>
        <v>79459</v>
      </c>
      <c r="N577" s="399">
        <f t="shared" si="27"/>
        <v>20.19790332120968</v>
      </c>
      <c r="O577" s="32">
        <f t="shared" si="11"/>
        <v>1604905.2</v>
      </c>
      <c r="P577" s="29" t="str">
        <f>P502</f>
        <v>cy</v>
      </c>
      <c r="Q577" s="56">
        <f>Q502</f>
        <v>79459</v>
      </c>
      <c r="R577" s="399">
        <f t="shared" si="28"/>
        <v>25.920642595552426</v>
      </c>
      <c r="S577" s="190">
        <f>S502*(1+$R$535)</f>
        <v>2059628.34</v>
      </c>
      <c r="T577" s="26" t="str">
        <f>T502</f>
        <v>cy</v>
      </c>
      <c r="U577" s="230">
        <f>U502</f>
        <v>79459</v>
      </c>
      <c r="V577" s="399">
        <f t="shared" si="29"/>
        <v>26.90021973596446</v>
      </c>
      <c r="W577" s="190">
        <f>W502*(1+$V$535)</f>
        <v>2137464.56</v>
      </c>
      <c r="X577" s="261" t="str">
        <f>X502</f>
        <v>cy</v>
      </c>
      <c r="Y577" s="230">
        <f>Y502</f>
        <v>79459</v>
      </c>
      <c r="Z577" s="242">
        <f t="shared" si="30"/>
        <v>26.90021973596446</v>
      </c>
      <c r="AA577" s="190">
        <f>AA502*(1+$Z$535)</f>
        <v>2137464.56</v>
      </c>
      <c r="AB577" s="261" t="str">
        <f>AB502</f>
        <v>cy</v>
      </c>
      <c r="AC577" s="230">
        <f>AC502</f>
        <v>79459</v>
      </c>
      <c r="AD577" s="242">
        <f t="shared" si="31"/>
        <v>26.90021973596446</v>
      </c>
      <c r="AE577" s="190">
        <f>AE502*(1+$AD$535)</f>
        <v>2137464.56</v>
      </c>
    </row>
    <row r="578" spans="1:31" ht="11.25">
      <c r="A578" s="376"/>
      <c r="B578" s="15" t="str">
        <f>B504</f>
        <v>Subtotal Facilities, Roads, and Other</v>
      </c>
      <c r="H578" s="478">
        <f>SUM(H564:H577)</f>
        <v>5721872.4</v>
      </c>
      <c r="I578" s="87">
        <f>SUM(I564:I577)</f>
        <v>3292543.2</v>
      </c>
      <c r="J578" s="87">
        <f>SUM(J564:J577)</f>
        <v>149930.4</v>
      </c>
      <c r="K578" s="480">
        <f t="shared" si="26"/>
        <v>9164346.000000002</v>
      </c>
      <c r="L578" s="55" t="str">
        <f>L504</f>
        <v>cy</v>
      </c>
      <c r="M578" s="57">
        <f>M564+M565+M566+M567+M569+M572+M573+M574+M575+M576+M577</f>
        <v>806749</v>
      </c>
      <c r="N578" s="399">
        <f t="shared" si="27"/>
        <v>11.359600073876758</v>
      </c>
      <c r="O578" s="32">
        <f>SUM(O564:O577)</f>
        <v>9164346</v>
      </c>
      <c r="P578" s="29" t="str">
        <f>P504</f>
        <v>cy</v>
      </c>
      <c r="Q578" s="56">
        <f>Q564+Q565+Q566+Q567+Q569+Q572+Q573+Q574+Q575+Q576+Q577</f>
        <v>806749</v>
      </c>
      <c r="R578" s="399">
        <f t="shared" si="28"/>
        <v>14.578153428141837</v>
      </c>
      <c r="S578" s="190">
        <f>SUM(S564:S577)</f>
        <v>11760910.7</v>
      </c>
      <c r="T578" s="29" t="str">
        <f>T504</f>
        <v>cy</v>
      </c>
      <c r="U578" s="56">
        <f>U564+U565+U566+U567+U569+U572+U573+U574+U575+U576+U577</f>
        <v>806749</v>
      </c>
      <c r="V578" s="399">
        <f>W578/U578</f>
        <v>15.482797985494871</v>
      </c>
      <c r="W578" s="190">
        <f>SUM(W564:W577)</f>
        <v>12490731.792000001</v>
      </c>
      <c r="X578" s="261" t="str">
        <f>X504</f>
        <v>cy</v>
      </c>
      <c r="Y578" s="230">
        <f>Y564+Y565+Y566+Y567+Y569+Y572+Y573+Y574+Y575+Y576+Y577</f>
        <v>806749</v>
      </c>
      <c r="Z578" s="242">
        <f t="shared" si="30"/>
        <v>15.482797985494871</v>
      </c>
      <c r="AA578" s="190">
        <f>SUM(AA564:AA577)</f>
        <v>12490731.792000001</v>
      </c>
      <c r="AB578" s="261" t="str">
        <f>AB504</f>
        <v>cy</v>
      </c>
      <c r="AC578" s="230">
        <f>AC564+AC565+AC566+AC567+AC569+AC572+AC573+AC574+AC575+AC576+AC577</f>
        <v>806749</v>
      </c>
      <c r="AD578" s="242">
        <f t="shared" si="31"/>
        <v>15.482797985494871</v>
      </c>
      <c r="AE578" s="190">
        <f>SUM(AE564:AE577)</f>
        <v>12490731.792000001</v>
      </c>
    </row>
    <row r="579" spans="1:31" ht="11.25">
      <c r="A579" s="376"/>
      <c r="H579" s="478"/>
      <c r="I579" s="87"/>
      <c r="J579" s="87"/>
      <c r="K579" s="480"/>
      <c r="L579" s="385"/>
      <c r="M579" s="380"/>
      <c r="N579" s="381"/>
      <c r="O579" s="379"/>
      <c r="P579" s="378"/>
      <c r="Q579" s="332"/>
      <c r="R579" s="381"/>
      <c r="S579" s="383"/>
      <c r="T579" s="386"/>
      <c r="U579" s="387"/>
      <c r="V579" s="382"/>
      <c r="W579" s="383"/>
      <c r="X579" s="388"/>
      <c r="Y579" s="387"/>
      <c r="Z579" s="382"/>
      <c r="AA579" s="383"/>
      <c r="AB579" s="384"/>
      <c r="AC579" s="387"/>
      <c r="AD579" s="382"/>
      <c r="AE579" s="383"/>
    </row>
    <row r="580" spans="1:31" ht="11.25">
      <c r="A580" s="97" t="s">
        <v>106</v>
      </c>
      <c r="B580" s="15" t="str">
        <f>B506</f>
        <v>Miscellaneous</v>
      </c>
      <c r="H580" s="478"/>
      <c r="I580" s="87"/>
      <c r="J580" s="87"/>
      <c r="K580" s="480"/>
      <c r="L580" s="109"/>
      <c r="M580" s="380"/>
      <c r="N580" s="381"/>
      <c r="O580" s="379"/>
      <c r="P580" s="89"/>
      <c r="Q580" s="56"/>
      <c r="R580" s="405"/>
      <c r="S580" s="190"/>
      <c r="T580" s="386"/>
      <c r="U580" s="387"/>
      <c r="V580" s="313"/>
      <c r="W580" s="383"/>
      <c r="X580" s="388"/>
      <c r="Y580" s="387"/>
      <c r="Z580" s="313"/>
      <c r="AA580" s="383"/>
      <c r="AB580" s="244"/>
      <c r="AC580" s="387"/>
      <c r="AD580" s="313"/>
      <c r="AE580" s="383"/>
    </row>
    <row r="581" spans="1:31" ht="11.25">
      <c r="A581" s="97"/>
      <c r="C581" s="15" t="str">
        <f>B507</f>
        <v>Detoxification/Disposal of Wastes</v>
      </c>
      <c r="H581" s="478">
        <f>H507*(1+$N$535)</f>
        <v>684</v>
      </c>
      <c r="I581" s="87">
        <f>I507*(1+$N$535)</f>
        <v>187.2</v>
      </c>
      <c r="J581" s="87">
        <f>J507*(1+$N$535)</f>
        <v>0</v>
      </c>
      <c r="K581" s="480">
        <f>K507*(1+$N$535)</f>
        <v>871.1999999999999</v>
      </c>
      <c r="L581" s="55" t="str">
        <f>L507</f>
        <v>lot</v>
      </c>
      <c r="M581" s="57">
        <f>M507</f>
        <v>1</v>
      </c>
      <c r="N581" s="26">
        <f t="shared" si="27"/>
        <v>871.1999999999999</v>
      </c>
      <c r="O581" s="32">
        <f t="shared" si="11"/>
        <v>871.1999999999999</v>
      </c>
      <c r="P581" s="29" t="str">
        <f>P507</f>
        <v>lot</v>
      </c>
      <c r="Q581" s="56">
        <f>Q507</f>
        <v>1</v>
      </c>
      <c r="R581" s="26">
        <f>S581/Q581</f>
        <v>1118.04</v>
      </c>
      <c r="S581" s="190">
        <f>S507*(1+$R$535)</f>
        <v>1118.04</v>
      </c>
      <c r="T581" s="26" t="str">
        <f>T507</f>
        <v>lot</v>
      </c>
      <c r="U581" s="230">
        <f>U507</f>
        <v>1</v>
      </c>
      <c r="V581" s="189">
        <f>W581/U581</f>
        <v>1118.04</v>
      </c>
      <c r="W581" s="190">
        <f>W507*(1+$V$535)</f>
        <v>1118.04</v>
      </c>
      <c r="X581" s="261" t="str">
        <f>X507</f>
        <v>lot</v>
      </c>
      <c r="Y581" s="230">
        <f>Y507</f>
        <v>1</v>
      </c>
      <c r="Z581" s="189">
        <f>AA581/Y581</f>
        <v>1118.04</v>
      </c>
      <c r="AA581" s="190">
        <f>AA507*(1+$Z$535)</f>
        <v>1118.04</v>
      </c>
      <c r="AB581" s="261" t="str">
        <f>AB507</f>
        <v>lot</v>
      </c>
      <c r="AC581" s="230">
        <f>AC507</f>
        <v>1</v>
      </c>
      <c r="AD581" s="189">
        <f>AE581/AC581</f>
        <v>1118.04</v>
      </c>
      <c r="AE581" s="190">
        <f>AE507*(1+$AD$535)</f>
        <v>1118.04</v>
      </c>
    </row>
    <row r="582" spans="1:31" ht="11.25">
      <c r="A582" s="97"/>
      <c r="C582" s="15" t="str">
        <f>B509</f>
        <v>Public Safety</v>
      </c>
      <c r="H582" s="478">
        <f>H509*(1+$N$535)</f>
        <v>0</v>
      </c>
      <c r="I582" s="87">
        <f>I509*(1+$N$535)</f>
        <v>0</v>
      </c>
      <c r="J582" s="87">
        <f>J509*(1+$N$535)</f>
        <v>0</v>
      </c>
      <c r="K582" s="480">
        <f>SUM(H582:J582)</f>
        <v>0</v>
      </c>
      <c r="L582" s="55"/>
      <c r="M582" s="57"/>
      <c r="N582" s="26"/>
      <c r="O582" s="32">
        <f t="shared" si="11"/>
        <v>0</v>
      </c>
      <c r="P582" s="29"/>
      <c r="Q582" s="56"/>
      <c r="R582" s="26"/>
      <c r="S582" s="190">
        <f>S509*(1+$R$535)</f>
        <v>0</v>
      </c>
      <c r="T582" s="402"/>
      <c r="U582" s="230"/>
      <c r="V582" s="189"/>
      <c r="W582" s="190">
        <f>W509*(1+$V$535)</f>
        <v>0</v>
      </c>
      <c r="X582" s="261"/>
      <c r="Y582" s="230"/>
      <c r="Z582" s="189"/>
      <c r="AA582" s="190">
        <f>AA509*(1+$Z$535)</f>
        <v>0</v>
      </c>
      <c r="AB582" s="261"/>
      <c r="AC582" s="230"/>
      <c r="AD582" s="189"/>
      <c r="AE582" s="190">
        <f>AE509*(1+$AD$535)</f>
        <v>0</v>
      </c>
    </row>
    <row r="583" spans="1:31" ht="11.25">
      <c r="A583" s="97"/>
      <c r="B583" s="15" t="str">
        <f>B511</f>
        <v>Subtotal Miscellaneous</v>
      </c>
      <c r="H583" s="478">
        <f>SUM(H581:H582)</f>
        <v>684</v>
      </c>
      <c r="I583" s="87">
        <f>SUM(I581:I582)</f>
        <v>187.2</v>
      </c>
      <c r="J583" s="87">
        <f>SUM(J581:J582)</f>
        <v>0</v>
      </c>
      <c r="K583" s="480">
        <f>H583+I583+J583</f>
        <v>871.2</v>
      </c>
      <c r="L583" s="31" t="s">
        <v>208</v>
      </c>
      <c r="M583" s="57">
        <v>1</v>
      </c>
      <c r="N583" s="26">
        <f t="shared" si="27"/>
        <v>871.1999999999999</v>
      </c>
      <c r="O583" s="32">
        <f>SUM(O581:O582)</f>
        <v>871.1999999999999</v>
      </c>
      <c r="P583" s="89" t="s">
        <v>208</v>
      </c>
      <c r="Q583" s="56">
        <v>1</v>
      </c>
      <c r="R583" s="26">
        <f>S583/Q583</f>
        <v>1118.04</v>
      </c>
      <c r="S583" s="190">
        <f>SUM(S581:S582)</f>
        <v>1118.04</v>
      </c>
      <c r="T583" s="191" t="s">
        <v>208</v>
      </c>
      <c r="U583" s="230">
        <v>1</v>
      </c>
      <c r="V583" s="189">
        <f>W583/U583</f>
        <v>1118.04</v>
      </c>
      <c r="W583" s="190">
        <f>SUM(W581:W582)</f>
        <v>1118.04</v>
      </c>
      <c r="X583" s="229" t="s">
        <v>208</v>
      </c>
      <c r="Y583" s="230">
        <v>1</v>
      </c>
      <c r="Z583" s="189">
        <f>AA583/Y583</f>
        <v>1118.04</v>
      </c>
      <c r="AA583" s="190">
        <f>SUM(AA581:AA582)</f>
        <v>1118.04</v>
      </c>
      <c r="AB583" s="229" t="s">
        <v>208</v>
      </c>
      <c r="AC583" s="230">
        <v>1</v>
      </c>
      <c r="AD583" s="189">
        <f>AE583/AC583</f>
        <v>1118.04</v>
      </c>
      <c r="AE583" s="190">
        <f>SUM(AE581:AE582)</f>
        <v>1118.04</v>
      </c>
    </row>
    <row r="584" spans="1:31" ht="11.25">
      <c r="A584" s="97" t="s">
        <v>107</v>
      </c>
      <c r="B584" s="15" t="str">
        <f>B513</f>
        <v>Water Treatment Capture, Pump, Treatment and Discharge</v>
      </c>
      <c r="H584" s="478">
        <f>H521*(1+$N$535)</f>
        <v>12614.4</v>
      </c>
      <c r="I584" s="87">
        <f>I521*(1+$N$535)</f>
        <v>0</v>
      </c>
      <c r="J584" s="87">
        <f>J521*(1+$N$535)</f>
        <v>2400</v>
      </c>
      <c r="K584" s="480">
        <f>SUM(H584:J584)</f>
        <v>15014.4</v>
      </c>
      <c r="L584" s="385"/>
      <c r="M584" s="380"/>
      <c r="N584" s="381"/>
      <c r="O584" s="32">
        <f t="shared" si="11"/>
        <v>15014.4</v>
      </c>
      <c r="P584" s="29"/>
      <c r="Q584" s="56"/>
      <c r="R584" s="26"/>
      <c r="S584" s="190">
        <f>S521*(1+$R$535)</f>
        <v>19268.48</v>
      </c>
      <c r="T584" s="403"/>
      <c r="U584" s="382"/>
      <c r="V584" s="382"/>
      <c r="W584" s="190">
        <f>W521*(1+$V$535)</f>
        <v>327268.48</v>
      </c>
      <c r="X584" s="261"/>
      <c r="Y584" s="189"/>
      <c r="Z584" s="189"/>
      <c r="AA584" s="190">
        <f>AA521*(1+$Z$535)</f>
        <v>1559268.48</v>
      </c>
      <c r="AB584" s="384"/>
      <c r="AC584" s="382"/>
      <c r="AD584" s="382"/>
      <c r="AE584" s="190">
        <f>AE521*(1+$AD$535)</f>
        <v>3099268.48</v>
      </c>
    </row>
    <row r="585" spans="1:31" ht="11.25">
      <c r="A585" s="97"/>
      <c r="H585" s="478"/>
      <c r="I585" s="87"/>
      <c r="J585" s="87"/>
      <c r="K585" s="480"/>
      <c r="L585" s="109"/>
      <c r="M585" s="380"/>
      <c r="N585" s="381"/>
      <c r="O585" s="379"/>
      <c r="P585" s="435"/>
      <c r="Q585" s="332"/>
      <c r="R585" s="389"/>
      <c r="S585" s="246"/>
      <c r="T585" s="408"/>
      <c r="U585" s="322"/>
      <c r="V585" s="390"/>
      <c r="W585" s="246"/>
      <c r="X585" s="229"/>
      <c r="Y585" s="230"/>
      <c r="Z585" s="192"/>
      <c r="AA585" s="36"/>
      <c r="AB585" s="244"/>
      <c r="AC585" s="322"/>
      <c r="AD585" s="390"/>
      <c r="AE585" s="246"/>
    </row>
    <row r="586" spans="1:31" ht="12" thickBot="1">
      <c r="A586" s="117"/>
      <c r="B586" s="52" t="s">
        <v>179</v>
      </c>
      <c r="C586" s="118"/>
      <c r="D586" s="118"/>
      <c r="E586" s="118"/>
      <c r="F586" s="118"/>
      <c r="G586" s="118"/>
      <c r="H586" s="502"/>
      <c r="I586" s="503"/>
      <c r="J586" s="503"/>
      <c r="K586" s="504">
        <f>K551+K561+K578+K583+K584</f>
        <v>13474394.4</v>
      </c>
      <c r="L586" s="391"/>
      <c r="M586" s="392"/>
      <c r="N586" s="393"/>
      <c r="O586" s="432">
        <f>O551+O561+O578+O583+O584</f>
        <v>13474394.4</v>
      </c>
      <c r="P586" s="436"/>
      <c r="Q586" s="392"/>
      <c r="R586" s="404"/>
      <c r="S586" s="413">
        <f>S551+S561+S578+S583+S584</f>
        <v>17292139.48</v>
      </c>
      <c r="T586" s="434"/>
      <c r="U586" s="395"/>
      <c r="V586" s="396"/>
      <c r="W586" s="474">
        <f>W551+W561+W578+W583+W584</f>
        <v>19396987.302</v>
      </c>
      <c r="X586" s="394"/>
      <c r="Y586" s="395"/>
      <c r="Z586" s="396"/>
      <c r="AA586" s="474">
        <f>AA551+AA561+AA578+AA583+AA584</f>
        <v>20628987.302</v>
      </c>
      <c r="AB586" s="394"/>
      <c r="AC586" s="395"/>
      <c r="AD586" s="396"/>
      <c r="AE586" s="474">
        <f>AE551+AE561+AE578+AE583+AE584</f>
        <v>22168987.302</v>
      </c>
    </row>
    <row r="587" spans="1:31" ht="11.25">
      <c r="A587" s="119"/>
      <c r="B587" s="51"/>
      <c r="C587" s="51"/>
      <c r="D587" s="51"/>
      <c r="E587" s="51"/>
      <c r="F587" s="51"/>
      <c r="G587" s="51"/>
      <c r="H587" s="32"/>
      <c r="I587" s="32"/>
      <c r="J587" s="32"/>
      <c r="K587" s="32"/>
      <c r="L587" s="51"/>
      <c r="M587" s="120"/>
      <c r="N587" s="32"/>
      <c r="O587" s="32"/>
      <c r="P587" s="128"/>
      <c r="Q587" s="193"/>
      <c r="S587" s="262"/>
      <c r="T587" s="128"/>
      <c r="U587" s="193"/>
      <c r="V587" s="318"/>
      <c r="W587" s="319"/>
      <c r="X587" s="128"/>
      <c r="Y587" s="193"/>
      <c r="Z587" s="318"/>
      <c r="AA587" s="319"/>
      <c r="AB587" s="128"/>
      <c r="AC587" s="193"/>
      <c r="AD587" s="318"/>
      <c r="AE587" s="319"/>
    </row>
    <row r="588" spans="1:31" ht="11.25">
      <c r="A588" s="119"/>
      <c r="B588" s="51"/>
      <c r="C588" s="51"/>
      <c r="D588" s="51"/>
      <c r="E588" s="51"/>
      <c r="F588" s="51"/>
      <c r="G588" s="51"/>
      <c r="H588" s="32"/>
      <c r="I588" s="32"/>
      <c r="J588" s="32"/>
      <c r="K588" s="32"/>
      <c r="L588" s="51"/>
      <c r="M588" s="120"/>
      <c r="N588" s="32"/>
      <c r="O588" s="32"/>
      <c r="P588" s="128"/>
      <c r="Q588" s="193"/>
      <c r="S588" s="262"/>
      <c r="T588" s="128"/>
      <c r="U588" s="193"/>
      <c r="V588" s="319"/>
      <c r="W588" s="319"/>
      <c r="X588" s="128"/>
      <c r="Y588" s="193"/>
      <c r="Z588" s="319"/>
      <c r="AA588" s="319"/>
      <c r="AB588" s="128"/>
      <c r="AC588" s="193"/>
      <c r="AD588" s="319"/>
      <c r="AE588" s="319"/>
    </row>
    <row r="589" spans="1:31" ht="11.25">
      <c r="A589" s="119"/>
      <c r="B589" s="51"/>
      <c r="C589" s="51"/>
      <c r="D589" s="51"/>
      <c r="E589" s="51"/>
      <c r="F589" s="51"/>
      <c r="G589" s="51"/>
      <c r="H589" s="32"/>
      <c r="I589" s="32"/>
      <c r="J589" s="32"/>
      <c r="K589" s="32"/>
      <c r="L589" s="51"/>
      <c r="M589" s="120"/>
      <c r="N589" s="32"/>
      <c r="O589" s="32"/>
      <c r="P589" s="128"/>
      <c r="Q589" s="193"/>
      <c r="S589" s="262"/>
      <c r="T589" s="128"/>
      <c r="U589" s="193"/>
      <c r="V589" s="319"/>
      <c r="W589" s="319"/>
      <c r="X589" s="128"/>
      <c r="Y589" s="193"/>
      <c r="Z589" s="319"/>
      <c r="AA589" s="319"/>
      <c r="AB589" s="128"/>
      <c r="AC589" s="193"/>
      <c r="AD589" s="319"/>
      <c r="AE589" s="319"/>
    </row>
    <row r="590" spans="1:31" ht="11.25">
      <c r="A590" s="119"/>
      <c r="B590" s="51"/>
      <c r="C590" s="51"/>
      <c r="D590" s="51"/>
      <c r="E590" s="51"/>
      <c r="F590" s="51"/>
      <c r="G590" s="51"/>
      <c r="H590" s="32"/>
      <c r="I590" s="32"/>
      <c r="J590" s="32"/>
      <c r="K590" s="32"/>
      <c r="L590" s="51"/>
      <c r="M590" s="120"/>
      <c r="N590" s="32"/>
      <c r="O590" s="32"/>
      <c r="P590" s="128"/>
      <c r="Q590" s="193"/>
      <c r="S590" s="262"/>
      <c r="T590" s="128"/>
      <c r="U590" s="193"/>
      <c r="V590" s="319"/>
      <c r="W590" s="319"/>
      <c r="X590" s="128"/>
      <c r="Y590" s="193"/>
      <c r="Z590" s="319"/>
      <c r="AA590" s="319"/>
      <c r="AB590" s="128"/>
      <c r="AC590" s="193"/>
      <c r="AD590" s="319"/>
      <c r="AE590" s="319"/>
    </row>
    <row r="591" spans="1:31" ht="11.25">
      <c r="A591" s="119"/>
      <c r="B591" s="51"/>
      <c r="C591" s="51"/>
      <c r="D591" s="51"/>
      <c r="E591" s="51"/>
      <c r="F591" s="51"/>
      <c r="G591" s="51"/>
      <c r="H591" s="32"/>
      <c r="I591" s="32"/>
      <c r="J591" s="32"/>
      <c r="K591" s="32"/>
      <c r="L591" s="51"/>
      <c r="M591" s="120"/>
      <c r="N591" s="32"/>
      <c r="O591" s="32"/>
      <c r="P591" s="128"/>
      <c r="Q591" s="193"/>
      <c r="S591" s="262"/>
      <c r="T591" s="128"/>
      <c r="U591" s="193"/>
      <c r="V591" s="319"/>
      <c r="W591" s="319"/>
      <c r="X591" s="128"/>
      <c r="Y591" s="193"/>
      <c r="Z591" s="319"/>
      <c r="AA591" s="319"/>
      <c r="AB591" s="128"/>
      <c r="AC591" s="193"/>
      <c r="AD591" s="319"/>
      <c r="AE591" s="319"/>
    </row>
    <row r="592" spans="1:31" ht="11.25">
      <c r="A592" s="119"/>
      <c r="B592" s="51"/>
      <c r="C592" s="51"/>
      <c r="D592" s="51"/>
      <c r="E592" s="51"/>
      <c r="F592" s="51"/>
      <c r="G592" s="51"/>
      <c r="H592" s="51"/>
      <c r="I592" s="32"/>
      <c r="J592" s="32"/>
      <c r="K592" s="32"/>
      <c r="L592" s="51"/>
      <c r="M592" s="120"/>
      <c r="N592" s="32"/>
      <c r="O592" s="32"/>
      <c r="P592" s="128"/>
      <c r="Q592" s="193"/>
      <c r="S592" s="262"/>
      <c r="T592" s="128"/>
      <c r="U592" s="193"/>
      <c r="V592" s="319"/>
      <c r="W592" s="319"/>
      <c r="X592" s="128"/>
      <c r="Y592" s="193"/>
      <c r="Z592" s="319"/>
      <c r="AA592" s="319"/>
      <c r="AB592" s="128"/>
      <c r="AC592" s="193"/>
      <c r="AD592" s="319"/>
      <c r="AE592" s="319"/>
    </row>
    <row r="593" spans="1:31" ht="11.25">
      <c r="A593" s="119"/>
      <c r="B593" s="51"/>
      <c r="C593" s="51"/>
      <c r="D593" s="51"/>
      <c r="E593" s="51"/>
      <c r="F593" s="51"/>
      <c r="G593" s="51"/>
      <c r="H593" s="32"/>
      <c r="I593" s="32"/>
      <c r="J593" s="32"/>
      <c r="K593" s="32"/>
      <c r="L593" s="51"/>
      <c r="M593" s="120"/>
      <c r="N593" s="32"/>
      <c r="O593" s="32"/>
      <c r="P593" s="128"/>
      <c r="Q593" s="193"/>
      <c r="S593" s="262"/>
      <c r="T593" s="128"/>
      <c r="U593" s="193"/>
      <c r="V593" s="319"/>
      <c r="W593" s="319"/>
      <c r="X593" s="128"/>
      <c r="Y593" s="193"/>
      <c r="Z593" s="319"/>
      <c r="AA593" s="319"/>
      <c r="AB593" s="128"/>
      <c r="AC593" s="193"/>
      <c r="AD593" s="319"/>
      <c r="AE593" s="319"/>
    </row>
    <row r="594" spans="1:31" ht="11.25">
      <c r="A594" s="119"/>
      <c r="B594" s="51"/>
      <c r="C594" s="51"/>
      <c r="D594" s="51"/>
      <c r="E594" s="51"/>
      <c r="F594" s="51"/>
      <c r="G594" s="51"/>
      <c r="H594" s="32"/>
      <c r="I594" s="32"/>
      <c r="J594" s="32"/>
      <c r="K594" s="32"/>
      <c r="L594" s="51"/>
      <c r="M594" s="120"/>
      <c r="N594" s="32"/>
      <c r="O594" s="32"/>
      <c r="P594" s="128"/>
      <c r="Q594" s="193"/>
      <c r="S594" s="262"/>
      <c r="T594" s="128"/>
      <c r="U594" s="193"/>
      <c r="V594" s="319"/>
      <c r="W594" s="319"/>
      <c r="X594" s="128"/>
      <c r="Y594" s="193"/>
      <c r="Z594" s="319"/>
      <c r="AA594" s="319"/>
      <c r="AB594" s="128"/>
      <c r="AC594" s="193"/>
      <c r="AD594" s="319"/>
      <c r="AE594" s="319"/>
    </row>
    <row r="595" spans="1:31" ht="11.25">
      <c r="A595" s="119"/>
      <c r="B595" s="51"/>
      <c r="C595" s="51"/>
      <c r="D595" s="51"/>
      <c r="E595" s="51"/>
      <c r="F595" s="51"/>
      <c r="G595" s="51"/>
      <c r="H595" s="32"/>
      <c r="I595" s="32"/>
      <c r="J595" s="32"/>
      <c r="K595" s="32"/>
      <c r="L595" s="51"/>
      <c r="M595" s="120"/>
      <c r="N595" s="32"/>
      <c r="O595" s="32"/>
      <c r="P595" s="128"/>
      <c r="Q595" s="193"/>
      <c r="S595" s="262"/>
      <c r="T595" s="128"/>
      <c r="U595" s="193"/>
      <c r="V595" s="319"/>
      <c r="W595" s="319"/>
      <c r="X595" s="128"/>
      <c r="Y595" s="193"/>
      <c r="Z595" s="319"/>
      <c r="AA595" s="319"/>
      <c r="AB595" s="128"/>
      <c r="AC595" s="193"/>
      <c r="AD595" s="319"/>
      <c r="AE595" s="319"/>
    </row>
    <row r="596" spans="1:31" ht="11.25">
      <c r="A596" s="119"/>
      <c r="B596" s="51"/>
      <c r="C596" s="51"/>
      <c r="D596" s="51"/>
      <c r="E596" s="51"/>
      <c r="F596" s="51"/>
      <c r="G596" s="51"/>
      <c r="H596" s="32"/>
      <c r="I596" s="32"/>
      <c r="J596" s="32"/>
      <c r="K596" s="32"/>
      <c r="L596" s="51"/>
      <c r="M596" s="120"/>
      <c r="N596" s="32"/>
      <c r="O596" s="32"/>
      <c r="P596" s="128"/>
      <c r="Q596" s="193"/>
      <c r="S596" s="262"/>
      <c r="T596" s="128"/>
      <c r="U596" s="193"/>
      <c r="V596" s="319"/>
      <c r="W596" s="319"/>
      <c r="X596" s="128"/>
      <c r="Y596" s="193"/>
      <c r="Z596" s="319"/>
      <c r="AA596" s="319"/>
      <c r="AB596" s="128"/>
      <c r="AC596" s="193"/>
      <c r="AD596" s="319"/>
      <c r="AE596" s="319"/>
    </row>
    <row r="597" spans="1:31" ht="11.25">
      <c r="A597" s="119"/>
      <c r="B597" s="51"/>
      <c r="C597" s="51"/>
      <c r="D597" s="51"/>
      <c r="E597" s="51"/>
      <c r="F597" s="51"/>
      <c r="G597" s="51"/>
      <c r="H597" s="32"/>
      <c r="I597" s="32"/>
      <c r="J597" s="32"/>
      <c r="K597" s="32"/>
      <c r="L597" s="51"/>
      <c r="M597" s="120"/>
      <c r="N597" s="32"/>
      <c r="O597" s="32"/>
      <c r="P597" s="128"/>
      <c r="Q597" s="193"/>
      <c r="S597" s="262"/>
      <c r="T597" s="128"/>
      <c r="U597" s="193"/>
      <c r="V597" s="319"/>
      <c r="W597" s="319"/>
      <c r="X597" s="128"/>
      <c r="Y597" s="193"/>
      <c r="Z597" s="319"/>
      <c r="AA597" s="319"/>
      <c r="AB597" s="128"/>
      <c r="AC597" s="193"/>
      <c r="AD597" s="319"/>
      <c r="AE597" s="319"/>
    </row>
    <row r="598" spans="1:31" ht="11.25">
      <c r="A598" s="128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120"/>
      <c r="N598" s="32"/>
      <c r="O598" s="32"/>
      <c r="P598" s="128"/>
      <c r="Q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28"/>
      <c r="AD598" s="128"/>
      <c r="AE598" s="128"/>
    </row>
    <row r="599" ht="11.25">
      <c r="A599" s="98"/>
    </row>
    <row r="600" ht="11.25">
      <c r="A600" s="98"/>
    </row>
    <row r="601" ht="11.25">
      <c r="A601" s="98"/>
    </row>
    <row r="602" ht="11.25">
      <c r="A602" s="98"/>
    </row>
    <row r="603" ht="11.25">
      <c r="A603" s="98"/>
    </row>
    <row r="604" ht="11.25">
      <c r="A604" s="98"/>
    </row>
    <row r="605" ht="11.25">
      <c r="A605" s="98"/>
    </row>
    <row r="606" ht="11.25">
      <c r="A606" s="98"/>
    </row>
  </sheetData>
  <mergeCells count="6">
    <mergeCell ref="X5:AA5"/>
    <mergeCell ref="AB5:AE5"/>
    <mergeCell ref="C5:D6"/>
    <mergeCell ref="H5:O5"/>
    <mergeCell ref="P5:S5"/>
    <mergeCell ref="T5:W5"/>
  </mergeCells>
  <printOptions/>
  <pageMargins left="0.5" right="0.5" top="1" bottom="1" header="0.5" footer="0.5"/>
  <pageSetup fitToHeight="0" fitToWidth="1" horizontalDpi="600" verticalDpi="600" orientation="landscape" scale="38" r:id="rId1"/>
  <headerFooter alignWithMargins="0">
    <oddFooter>&amp;L&amp;"Braggadocio,Regular"CSP&amp;X2&amp;RPage &amp;P of &amp;N</oddFooter>
  </headerFooter>
  <rowBreaks count="6" manualBreakCount="6">
    <brk id="84" max="30" man="1"/>
    <brk id="170" max="30" man="1"/>
    <brk id="262" max="30" man="1"/>
    <brk id="358" max="30" man="1"/>
    <brk id="455" max="30" man="1"/>
    <brk id="540" max="30" man="1"/>
  </rowBreaks>
  <ignoredErrors>
    <ignoredError sqref="K564 K545:K547 N521 K567:K572 K583 O578 O583 N356 N551 R521" formula="1"/>
    <ignoredError sqref="A281 A272 A277:A2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542"/>
  <sheetViews>
    <sheetView zoomScale="80" zoomScaleNormal="80" zoomScaleSheetLayoutView="25" workbookViewId="0" topLeftCell="A1">
      <pane xSplit="7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"/>
    </sheetView>
  </sheetViews>
  <sheetFormatPr defaultColWidth="9.140625" defaultRowHeight="12.75"/>
  <cols>
    <col min="1" max="1" width="9.421875" style="98" customWidth="1"/>
    <col min="2" max="2" width="7.57421875" style="98" customWidth="1"/>
    <col min="3" max="5" width="9.140625" style="98" customWidth="1"/>
    <col min="6" max="6" width="20.140625" style="98" customWidth="1"/>
    <col min="7" max="7" width="5.57421875" style="98" customWidth="1"/>
    <col min="8" max="8" width="37.28125" style="98" customWidth="1"/>
    <col min="9" max="9" width="24.140625" style="98" customWidth="1"/>
    <col min="10" max="10" width="26.140625" style="139" customWidth="1"/>
    <col min="11" max="12" width="24.8515625" style="139" customWidth="1"/>
    <col min="13" max="40" width="9.140625" style="128" customWidth="1"/>
    <col min="41" max="16384" width="9.140625" style="98" customWidth="1"/>
  </cols>
  <sheetData>
    <row r="1" spans="1:12" ht="12">
      <c r="A1" s="171" t="s">
        <v>204</v>
      </c>
      <c r="B1" s="171"/>
      <c r="C1" s="171"/>
      <c r="D1" s="171"/>
      <c r="E1" s="171"/>
      <c r="F1" s="171"/>
      <c r="G1" s="171"/>
      <c r="H1" s="171"/>
      <c r="I1" s="171"/>
      <c r="J1" s="136"/>
      <c r="K1" s="136"/>
      <c r="L1" s="136"/>
    </row>
    <row r="2" spans="1:12" ht="12">
      <c r="A2" s="35" t="s">
        <v>197</v>
      </c>
      <c r="B2" s="35"/>
      <c r="C2" s="35"/>
      <c r="D2" s="35"/>
      <c r="E2" s="35"/>
      <c r="F2" s="35"/>
      <c r="I2" s="128"/>
      <c r="J2" s="137"/>
      <c r="K2" s="137"/>
      <c r="L2" s="137"/>
    </row>
    <row r="3" spans="9:12" ht="11.25">
      <c r="I3" s="128"/>
      <c r="J3" s="138"/>
      <c r="K3" s="138"/>
      <c r="L3" s="138"/>
    </row>
    <row r="4" spans="8:12" ht="12" thickBot="1">
      <c r="H4" s="128"/>
      <c r="I4" s="128"/>
      <c r="J4" s="138"/>
      <c r="K4" s="138"/>
      <c r="L4" s="138"/>
    </row>
    <row r="5" spans="1:12" ht="11.25">
      <c r="A5" s="173"/>
      <c r="B5" s="174"/>
      <c r="C5" s="521" t="s">
        <v>0</v>
      </c>
      <c r="D5" s="521"/>
      <c r="E5" s="174"/>
      <c r="F5" s="174"/>
      <c r="G5" s="174"/>
      <c r="H5" s="523" t="s">
        <v>198</v>
      </c>
      <c r="I5" s="519" t="s">
        <v>174</v>
      </c>
      <c r="J5" s="519" t="s">
        <v>175</v>
      </c>
      <c r="K5" s="519" t="s">
        <v>184</v>
      </c>
      <c r="L5" s="519" t="s">
        <v>183</v>
      </c>
    </row>
    <row r="6" spans="1:227" ht="15" customHeight="1">
      <c r="A6" s="175" t="s">
        <v>1</v>
      </c>
      <c r="B6" s="176"/>
      <c r="C6" s="522"/>
      <c r="D6" s="522"/>
      <c r="E6" s="176"/>
      <c r="F6" s="176"/>
      <c r="G6" s="176"/>
      <c r="H6" s="524"/>
      <c r="I6" s="520"/>
      <c r="J6" s="520"/>
      <c r="K6" s="520"/>
      <c r="L6" s="520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</row>
    <row r="7" spans="1:227" ht="45">
      <c r="A7" s="113"/>
      <c r="H7" s="181"/>
      <c r="I7" s="298" t="s">
        <v>624</v>
      </c>
      <c r="J7" s="152" t="s">
        <v>628</v>
      </c>
      <c r="K7" s="152" t="s">
        <v>640</v>
      </c>
      <c r="L7" s="152" t="s">
        <v>641</v>
      </c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</row>
    <row r="8" spans="1:227" ht="12">
      <c r="A8" s="85">
        <v>1</v>
      </c>
      <c r="B8" s="7" t="s">
        <v>186</v>
      </c>
      <c r="C8" s="35"/>
      <c r="D8" s="35"/>
      <c r="H8" s="140"/>
      <c r="I8" s="140"/>
      <c r="J8" s="143"/>
      <c r="K8" s="143"/>
      <c r="L8" s="143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</row>
    <row r="9" spans="1:227" ht="12">
      <c r="A9" s="85" t="s">
        <v>116</v>
      </c>
      <c r="B9" s="15" t="s">
        <v>325</v>
      </c>
      <c r="C9" s="15"/>
      <c r="D9" s="35"/>
      <c r="H9" s="147" t="s">
        <v>327</v>
      </c>
      <c r="I9" s="140"/>
      <c r="J9" s="143"/>
      <c r="K9" s="143"/>
      <c r="L9" s="143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</row>
    <row r="10" spans="1:227" ht="11.25">
      <c r="A10" s="85"/>
      <c r="B10" s="15"/>
      <c r="C10" s="15" t="s">
        <v>10</v>
      </c>
      <c r="G10" s="128"/>
      <c r="H10" s="140" t="s">
        <v>328</v>
      </c>
      <c r="I10" s="140"/>
      <c r="J10" s="147"/>
      <c r="K10" s="147"/>
      <c r="L10" s="14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</row>
    <row r="11" spans="1:227" ht="22.5">
      <c r="A11" s="85" t="s">
        <v>117</v>
      </c>
      <c r="B11" s="15"/>
      <c r="C11" s="15"/>
      <c r="D11" s="98" t="s">
        <v>11</v>
      </c>
      <c r="H11" s="147" t="s">
        <v>329</v>
      </c>
      <c r="I11" s="140"/>
      <c r="J11" s="143"/>
      <c r="K11" s="143"/>
      <c r="L11" s="143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</row>
    <row r="12" spans="1:227" ht="11.25">
      <c r="A12" s="85" t="s">
        <v>118</v>
      </c>
      <c r="B12" s="15"/>
      <c r="C12" s="15"/>
      <c r="D12" s="98" t="s">
        <v>12</v>
      </c>
      <c r="H12" s="140"/>
      <c r="I12" s="140"/>
      <c r="J12" s="143"/>
      <c r="K12" s="143"/>
      <c r="L12" s="143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</row>
    <row r="13" spans="1:227" ht="22.5">
      <c r="A13" s="85" t="s">
        <v>119</v>
      </c>
      <c r="B13" s="15"/>
      <c r="C13" s="15"/>
      <c r="D13" s="98" t="s">
        <v>13</v>
      </c>
      <c r="H13" s="147" t="s">
        <v>330</v>
      </c>
      <c r="I13" s="140"/>
      <c r="J13" s="143"/>
      <c r="K13" s="143"/>
      <c r="L13" s="143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</row>
    <row r="14" spans="1:227" ht="33.75">
      <c r="A14" s="85" t="s">
        <v>120</v>
      </c>
      <c r="B14" s="15"/>
      <c r="C14" s="15"/>
      <c r="D14" s="98" t="s">
        <v>14</v>
      </c>
      <c r="H14" s="147" t="s">
        <v>331</v>
      </c>
      <c r="I14" s="140"/>
      <c r="J14" s="472" t="s">
        <v>629</v>
      </c>
      <c r="K14" s="143"/>
      <c r="L14" s="143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</row>
    <row r="15" spans="1:227" ht="11.25">
      <c r="A15" s="85"/>
      <c r="B15" s="15"/>
      <c r="C15" s="15" t="s">
        <v>15</v>
      </c>
      <c r="H15" s="147"/>
      <c r="I15" s="140"/>
      <c r="J15" s="143"/>
      <c r="K15" s="143"/>
      <c r="L15" s="143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</row>
    <row r="16" spans="1:227" ht="11.25">
      <c r="A16" s="85" t="s">
        <v>121</v>
      </c>
      <c r="B16" s="15"/>
      <c r="C16" s="15"/>
      <c r="D16" s="98" t="s">
        <v>11</v>
      </c>
      <c r="H16" s="147"/>
      <c r="I16" s="140"/>
      <c r="J16" s="143"/>
      <c r="K16" s="143"/>
      <c r="L16" s="143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</row>
    <row r="17" spans="1:227" ht="11.25">
      <c r="A17" s="85" t="s">
        <v>122</v>
      </c>
      <c r="B17" s="15"/>
      <c r="C17" s="15"/>
      <c r="D17" s="98" t="s">
        <v>12</v>
      </c>
      <c r="H17" s="147"/>
      <c r="I17" s="140"/>
      <c r="J17" s="143"/>
      <c r="K17" s="143"/>
      <c r="L17" s="143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</row>
    <row r="18" spans="1:227" ht="11.25">
      <c r="A18" s="85" t="s">
        <v>123</v>
      </c>
      <c r="B18" s="15"/>
      <c r="C18" s="15"/>
      <c r="D18" s="98" t="s">
        <v>13</v>
      </c>
      <c r="H18" s="147"/>
      <c r="I18" s="140"/>
      <c r="J18" s="143"/>
      <c r="K18" s="143"/>
      <c r="L18" s="143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</row>
    <row r="19" spans="1:227" ht="11.25">
      <c r="A19" s="85" t="s">
        <v>124</v>
      </c>
      <c r="B19" s="15"/>
      <c r="C19" s="15"/>
      <c r="D19" s="98" t="s">
        <v>14</v>
      </c>
      <c r="H19" s="147"/>
      <c r="I19" s="140"/>
      <c r="J19" s="143"/>
      <c r="K19" s="143"/>
      <c r="L19" s="143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</row>
    <row r="20" spans="1:227" ht="11.25">
      <c r="A20" s="85"/>
      <c r="B20" s="15"/>
      <c r="C20" s="15" t="s">
        <v>16</v>
      </c>
      <c r="H20" s="147"/>
      <c r="I20" s="140"/>
      <c r="J20" s="143"/>
      <c r="K20" s="143"/>
      <c r="L20" s="143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</row>
    <row r="21" spans="1:227" ht="11.25">
      <c r="A21" s="85"/>
      <c r="B21" s="15"/>
      <c r="C21" s="15" t="s">
        <v>10</v>
      </c>
      <c r="H21" s="147"/>
      <c r="I21" s="140"/>
      <c r="J21" s="143"/>
      <c r="K21" s="143"/>
      <c r="L21" s="143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</row>
    <row r="22" spans="1:227" ht="11.25">
      <c r="A22" s="85" t="s">
        <v>125</v>
      </c>
      <c r="B22" s="15"/>
      <c r="C22" s="15"/>
      <c r="D22" s="98" t="s">
        <v>17</v>
      </c>
      <c r="H22" s="147"/>
      <c r="I22" s="140"/>
      <c r="J22" s="143"/>
      <c r="K22" s="143"/>
      <c r="L22" s="143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</row>
    <row r="23" spans="1:227" ht="33.75">
      <c r="A23" s="85" t="s">
        <v>126</v>
      </c>
      <c r="B23" s="15"/>
      <c r="C23" s="15"/>
      <c r="D23" s="98" t="s">
        <v>18</v>
      </c>
      <c r="H23" s="147"/>
      <c r="I23" s="140"/>
      <c r="J23" s="472" t="s">
        <v>631</v>
      </c>
      <c r="K23" s="143"/>
      <c r="L23" s="143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</row>
    <row r="24" spans="1:227" ht="11.25">
      <c r="A24" s="85"/>
      <c r="B24" s="15"/>
      <c r="C24" s="15" t="s">
        <v>15</v>
      </c>
      <c r="H24" s="140"/>
      <c r="I24" s="140"/>
      <c r="J24" s="143"/>
      <c r="K24" s="143"/>
      <c r="L24" s="143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</row>
    <row r="25" spans="1:227" ht="11.25">
      <c r="A25" s="85" t="s">
        <v>127</v>
      </c>
      <c r="B25" s="15"/>
      <c r="C25" s="15"/>
      <c r="D25" s="98" t="s">
        <v>17</v>
      </c>
      <c r="H25" s="140"/>
      <c r="I25" s="140"/>
      <c r="J25" s="143"/>
      <c r="K25" s="143"/>
      <c r="L25" s="143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</row>
    <row r="26" spans="1:227" ht="11.25">
      <c r="A26" s="85" t="s">
        <v>128</v>
      </c>
      <c r="B26" s="15"/>
      <c r="C26" s="15"/>
      <c r="D26" s="98" t="s">
        <v>19</v>
      </c>
      <c r="H26" s="147"/>
      <c r="I26" s="140"/>
      <c r="J26" s="143"/>
      <c r="K26" s="143"/>
      <c r="L26" s="143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</row>
    <row r="27" spans="1:227" ht="11.25">
      <c r="A27" s="85"/>
      <c r="B27" s="15"/>
      <c r="C27" s="15" t="s">
        <v>20</v>
      </c>
      <c r="H27" s="140"/>
      <c r="I27" s="140"/>
      <c r="J27" s="143"/>
      <c r="K27" s="143"/>
      <c r="L27" s="143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</row>
    <row r="28" spans="1:227" ht="12">
      <c r="A28" s="85"/>
      <c r="B28" s="15" t="s">
        <v>326</v>
      </c>
      <c r="C28" s="15"/>
      <c r="D28" s="35"/>
      <c r="H28" s="140"/>
      <c r="I28" s="140"/>
      <c r="J28" s="143"/>
      <c r="K28" s="143"/>
      <c r="L28" s="143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</row>
    <row r="29" spans="1:99" s="15" customFormat="1" ht="11.25">
      <c r="A29" s="85"/>
      <c r="H29" s="367"/>
      <c r="I29" s="367"/>
      <c r="J29" s="367"/>
      <c r="K29" s="367"/>
      <c r="L29" s="368"/>
      <c r="M29" s="120"/>
      <c r="N29" s="32"/>
      <c r="O29" s="32"/>
      <c r="P29" s="51"/>
      <c r="Q29" s="120"/>
      <c r="R29" s="32"/>
      <c r="S29" s="32"/>
      <c r="T29" s="51"/>
      <c r="U29" s="120"/>
      <c r="V29" s="32"/>
      <c r="W29" s="32"/>
      <c r="X29" s="128"/>
      <c r="Y29" s="193"/>
      <c r="Z29" s="45"/>
      <c r="AA29" s="45"/>
      <c r="AB29" s="128"/>
      <c r="AC29" s="193"/>
      <c r="AD29" s="45"/>
      <c r="AE29" s="45"/>
      <c r="AF29" s="128"/>
      <c r="AG29" s="128"/>
      <c r="AH29" s="128"/>
      <c r="AI29" s="128"/>
      <c r="AJ29" s="128"/>
      <c r="AK29" s="128"/>
      <c r="AL29" s="128"/>
      <c r="AM29" s="128"/>
      <c r="AN29" s="12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</row>
    <row r="30" spans="1:99" s="15" customFormat="1" ht="11.25">
      <c r="A30" s="85" t="s">
        <v>188</v>
      </c>
      <c r="B30" s="15" t="s">
        <v>323</v>
      </c>
      <c r="H30" s="367" t="s">
        <v>318</v>
      </c>
      <c r="I30" s="367"/>
      <c r="J30" s="367"/>
      <c r="K30" s="367"/>
      <c r="L30" s="368"/>
      <c r="M30" s="120"/>
      <c r="N30" s="32"/>
      <c r="O30" s="32"/>
      <c r="P30" s="51"/>
      <c r="Q30" s="120"/>
      <c r="R30" s="32"/>
      <c r="S30" s="32"/>
      <c r="T30" s="51"/>
      <c r="U30" s="120"/>
      <c r="V30" s="32"/>
      <c r="W30" s="32"/>
      <c r="X30" s="128"/>
      <c r="Y30" s="193"/>
      <c r="Z30" s="45"/>
      <c r="AA30" s="45"/>
      <c r="AB30" s="128"/>
      <c r="AC30" s="193"/>
      <c r="AD30" s="45"/>
      <c r="AE30" s="45"/>
      <c r="AF30" s="128"/>
      <c r="AG30" s="128"/>
      <c r="AH30" s="128"/>
      <c r="AI30" s="128"/>
      <c r="AJ30" s="128"/>
      <c r="AK30" s="128"/>
      <c r="AL30" s="128"/>
      <c r="AM30" s="128"/>
      <c r="AN30" s="12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</row>
    <row r="31" spans="1:99" s="15" customFormat="1" ht="12">
      <c r="A31" s="85" t="s">
        <v>369</v>
      </c>
      <c r="C31" s="15" t="s">
        <v>31</v>
      </c>
      <c r="D31" s="7"/>
      <c r="H31" s="367" t="s">
        <v>324</v>
      </c>
      <c r="I31" s="367"/>
      <c r="J31" s="367"/>
      <c r="K31" s="367"/>
      <c r="L31" s="368"/>
      <c r="M31" s="120"/>
      <c r="N31" s="32"/>
      <c r="O31" s="32"/>
      <c r="P31" s="128"/>
      <c r="Q31" s="193"/>
      <c r="R31" s="45"/>
      <c r="S31" s="45"/>
      <c r="T31" s="128"/>
      <c r="U31" s="193"/>
      <c r="V31" s="45"/>
      <c r="W31" s="45"/>
      <c r="X31" s="128"/>
      <c r="Y31" s="193"/>
      <c r="Z31" s="45"/>
      <c r="AA31" s="45"/>
      <c r="AB31" s="128"/>
      <c r="AC31" s="193"/>
      <c r="AD31" s="45"/>
      <c r="AE31" s="45"/>
      <c r="AF31" s="128"/>
      <c r="AG31" s="128"/>
      <c r="AH31" s="128"/>
      <c r="AI31" s="128"/>
      <c r="AJ31" s="128"/>
      <c r="AK31" s="128"/>
      <c r="AL31" s="128"/>
      <c r="AM31" s="128"/>
      <c r="AN31" s="12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</row>
    <row r="32" spans="1:99" s="15" customFormat="1" ht="12">
      <c r="A32" s="85"/>
      <c r="D32" s="7"/>
      <c r="H32" s="367"/>
      <c r="I32" s="367"/>
      <c r="J32" s="367"/>
      <c r="K32" s="367"/>
      <c r="L32" s="368"/>
      <c r="M32" s="120"/>
      <c r="N32" s="32"/>
      <c r="O32" s="32"/>
      <c r="P32" s="128"/>
      <c r="Q32" s="193"/>
      <c r="R32" s="45"/>
      <c r="S32" s="45"/>
      <c r="T32" s="128"/>
      <c r="U32" s="193"/>
      <c r="V32" s="45"/>
      <c r="W32" s="45"/>
      <c r="X32" s="128"/>
      <c r="Y32" s="193"/>
      <c r="Z32" s="45"/>
      <c r="AA32" s="45"/>
      <c r="AB32" s="128"/>
      <c r="AC32" s="193"/>
      <c r="AD32" s="45"/>
      <c r="AE32" s="45"/>
      <c r="AF32" s="128"/>
      <c r="AG32" s="128"/>
      <c r="AH32" s="128"/>
      <c r="AI32" s="128"/>
      <c r="AJ32" s="128"/>
      <c r="AK32" s="128"/>
      <c r="AL32" s="128"/>
      <c r="AM32" s="128"/>
      <c r="AN32" s="12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</row>
    <row r="33" spans="1:99" s="15" customFormat="1" ht="11.25">
      <c r="A33" s="85" t="s">
        <v>189</v>
      </c>
      <c r="B33" s="98" t="s">
        <v>354</v>
      </c>
      <c r="C33" s="98"/>
      <c r="H33" s="367" t="s">
        <v>356</v>
      </c>
      <c r="I33" s="367"/>
      <c r="J33" s="367"/>
      <c r="K33" s="367"/>
      <c r="L33" s="368"/>
      <c r="M33" s="120"/>
      <c r="N33" s="32"/>
      <c r="O33" s="32"/>
      <c r="P33" s="51"/>
      <c r="Q33" s="51"/>
      <c r="R33" s="32"/>
      <c r="S33" s="122"/>
      <c r="T33" s="128"/>
      <c r="U33" s="128"/>
      <c r="V33" s="45"/>
      <c r="W33" s="319"/>
      <c r="X33" s="128"/>
      <c r="Y33" s="128"/>
      <c r="Z33" s="45"/>
      <c r="AA33" s="319"/>
      <c r="AB33" s="128"/>
      <c r="AC33" s="128"/>
      <c r="AD33" s="45"/>
      <c r="AE33" s="319"/>
      <c r="AF33" s="128"/>
      <c r="AG33" s="128"/>
      <c r="AH33" s="128"/>
      <c r="AI33" s="128"/>
      <c r="AJ33" s="128"/>
      <c r="AK33" s="128"/>
      <c r="AL33" s="128"/>
      <c r="AM33" s="128"/>
      <c r="AN33" s="12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</row>
    <row r="34" spans="1:99" s="15" customFormat="1" ht="11.25">
      <c r="A34" s="85"/>
      <c r="C34" s="15" t="s">
        <v>31</v>
      </c>
      <c r="H34" s="368"/>
      <c r="I34" s="368"/>
      <c r="J34" s="368"/>
      <c r="K34" s="368"/>
      <c r="L34" s="368"/>
      <c r="M34" s="120"/>
      <c r="N34" s="32"/>
      <c r="O34" s="32"/>
      <c r="P34" s="51"/>
      <c r="Q34" s="51"/>
      <c r="R34" s="32"/>
      <c r="S34" s="122"/>
      <c r="T34" s="128"/>
      <c r="U34" s="128"/>
      <c r="V34" s="45"/>
      <c r="W34" s="319"/>
      <c r="X34" s="128"/>
      <c r="Y34" s="128"/>
      <c r="Z34" s="45"/>
      <c r="AA34" s="319"/>
      <c r="AB34" s="128"/>
      <c r="AC34" s="128"/>
      <c r="AD34" s="45"/>
      <c r="AE34" s="319"/>
      <c r="AF34" s="128"/>
      <c r="AG34" s="128"/>
      <c r="AH34" s="128"/>
      <c r="AI34" s="128"/>
      <c r="AJ34" s="128"/>
      <c r="AK34" s="128"/>
      <c r="AL34" s="128"/>
      <c r="AM34" s="128"/>
      <c r="AN34" s="12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</row>
    <row r="35" spans="1:99" s="15" customFormat="1" ht="45">
      <c r="A35" s="85" t="s">
        <v>370</v>
      </c>
      <c r="D35" s="15" t="s">
        <v>177</v>
      </c>
      <c r="H35" s="147" t="s">
        <v>621</v>
      </c>
      <c r="I35" s="367"/>
      <c r="J35" s="367"/>
      <c r="K35" s="367"/>
      <c r="L35" s="368"/>
      <c r="M35" s="120"/>
      <c r="N35" s="32"/>
      <c r="O35" s="32"/>
      <c r="P35" s="51"/>
      <c r="Q35" s="51"/>
      <c r="R35" s="348"/>
      <c r="S35" s="122"/>
      <c r="T35" s="128"/>
      <c r="U35" s="128"/>
      <c r="V35" s="349"/>
      <c r="W35" s="319"/>
      <c r="X35" s="128"/>
      <c r="Y35" s="128"/>
      <c r="Z35" s="349"/>
      <c r="AA35" s="319"/>
      <c r="AB35" s="128"/>
      <c r="AC35" s="128"/>
      <c r="AD35" s="349"/>
      <c r="AE35" s="319"/>
      <c r="AF35" s="128"/>
      <c r="AG35" s="128"/>
      <c r="AH35" s="128"/>
      <c r="AI35" s="128"/>
      <c r="AJ35" s="128"/>
      <c r="AK35" s="128"/>
      <c r="AL35" s="128"/>
      <c r="AM35" s="128"/>
      <c r="AN35" s="12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</row>
    <row r="36" spans="1:99" s="15" customFormat="1" ht="11.25">
      <c r="A36" s="85" t="s">
        <v>371</v>
      </c>
      <c r="D36" s="15" t="s">
        <v>178</v>
      </c>
      <c r="H36" s="147" t="s">
        <v>357</v>
      </c>
      <c r="I36" s="367"/>
      <c r="J36" s="367"/>
      <c r="K36" s="367"/>
      <c r="L36" s="368"/>
      <c r="M36" s="120"/>
      <c r="N36" s="32"/>
      <c r="O36" s="32"/>
      <c r="P36" s="51"/>
      <c r="Q36" s="51"/>
      <c r="R36" s="348"/>
      <c r="S36" s="122"/>
      <c r="T36" s="128"/>
      <c r="U36" s="128"/>
      <c r="V36" s="349"/>
      <c r="W36" s="319"/>
      <c r="X36" s="128"/>
      <c r="Y36" s="128"/>
      <c r="Z36" s="349"/>
      <c r="AA36" s="319"/>
      <c r="AB36" s="128"/>
      <c r="AC36" s="128"/>
      <c r="AD36" s="349"/>
      <c r="AE36" s="319"/>
      <c r="AF36" s="128"/>
      <c r="AG36" s="128"/>
      <c r="AH36" s="128"/>
      <c r="AI36" s="128"/>
      <c r="AJ36" s="128"/>
      <c r="AK36" s="128"/>
      <c r="AL36" s="128"/>
      <c r="AM36" s="128"/>
      <c r="AN36" s="12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</row>
    <row r="37" spans="1:99" s="15" customFormat="1" ht="11.25">
      <c r="A37" s="85"/>
      <c r="C37" s="15" t="s">
        <v>10</v>
      </c>
      <c r="H37" s="140" t="s">
        <v>328</v>
      </c>
      <c r="I37" s="367"/>
      <c r="J37" s="367"/>
      <c r="K37" s="367"/>
      <c r="L37" s="368"/>
      <c r="M37" s="120"/>
      <c r="N37" s="32"/>
      <c r="O37" s="32"/>
      <c r="P37" s="51"/>
      <c r="Q37" s="51"/>
      <c r="R37" s="121"/>
      <c r="S37" s="122"/>
      <c r="T37" s="128"/>
      <c r="U37" s="128"/>
      <c r="V37" s="318"/>
      <c r="W37" s="319"/>
      <c r="X37" s="128"/>
      <c r="Y37" s="128"/>
      <c r="Z37" s="318"/>
      <c r="AA37" s="319"/>
      <c r="AB37" s="128"/>
      <c r="AC37" s="128"/>
      <c r="AD37" s="318"/>
      <c r="AE37" s="319"/>
      <c r="AF37" s="128"/>
      <c r="AG37" s="128"/>
      <c r="AH37" s="128"/>
      <c r="AI37" s="128"/>
      <c r="AJ37" s="128"/>
      <c r="AK37" s="128"/>
      <c r="AL37" s="128"/>
      <c r="AM37" s="128"/>
      <c r="AN37" s="12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</row>
    <row r="38" spans="1:99" s="15" customFormat="1" ht="33.75">
      <c r="A38" s="85" t="s">
        <v>372</v>
      </c>
      <c r="D38" s="15" t="s">
        <v>11</v>
      </c>
      <c r="H38" s="147" t="s">
        <v>358</v>
      </c>
      <c r="I38" s="367"/>
      <c r="J38" s="367"/>
      <c r="K38" s="367"/>
      <c r="L38" s="368"/>
      <c r="M38" s="120"/>
      <c r="N38" s="348"/>
      <c r="O38" s="32"/>
      <c r="P38" s="51"/>
      <c r="Q38" s="120"/>
      <c r="R38" s="32"/>
      <c r="S38" s="122"/>
      <c r="T38" s="128"/>
      <c r="U38" s="193"/>
      <c r="V38" s="45"/>
      <c r="W38" s="319"/>
      <c r="X38" s="128"/>
      <c r="Y38" s="193"/>
      <c r="Z38" s="45"/>
      <c r="AA38" s="319"/>
      <c r="AB38" s="128"/>
      <c r="AC38" s="193"/>
      <c r="AD38" s="45"/>
      <c r="AE38" s="319"/>
      <c r="AF38" s="128"/>
      <c r="AG38" s="128"/>
      <c r="AH38" s="128"/>
      <c r="AI38" s="128"/>
      <c r="AJ38" s="128"/>
      <c r="AK38" s="128"/>
      <c r="AL38" s="128"/>
      <c r="AM38" s="128"/>
      <c r="AN38" s="12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</row>
    <row r="39" spans="1:99" s="15" customFormat="1" ht="11.25">
      <c r="A39" s="85" t="s">
        <v>373</v>
      </c>
      <c r="D39" s="15" t="s">
        <v>12</v>
      </c>
      <c r="H39" s="147"/>
      <c r="I39" s="367"/>
      <c r="J39" s="367"/>
      <c r="K39" s="367"/>
      <c r="L39" s="368"/>
      <c r="M39" s="120"/>
      <c r="N39" s="32"/>
      <c r="O39" s="32"/>
      <c r="P39" s="51"/>
      <c r="Q39" s="120"/>
      <c r="R39" s="122"/>
      <c r="S39" s="122"/>
      <c r="T39" s="128"/>
      <c r="U39" s="350"/>
      <c r="V39" s="319"/>
      <c r="W39" s="319"/>
      <c r="X39" s="128"/>
      <c r="Y39" s="350"/>
      <c r="Z39" s="319"/>
      <c r="AA39" s="319"/>
      <c r="AB39" s="128"/>
      <c r="AC39" s="350"/>
      <c r="AD39" s="319"/>
      <c r="AE39" s="319"/>
      <c r="AF39" s="128"/>
      <c r="AG39" s="128"/>
      <c r="AH39" s="128"/>
      <c r="AI39" s="128"/>
      <c r="AJ39" s="128"/>
      <c r="AK39" s="128"/>
      <c r="AL39" s="128"/>
      <c r="AM39" s="128"/>
      <c r="AN39" s="12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</row>
    <row r="40" spans="1:99" s="15" customFormat="1" ht="11.25">
      <c r="A40" s="85" t="s">
        <v>374</v>
      </c>
      <c r="D40" s="15" t="s">
        <v>13</v>
      </c>
      <c r="H40" s="147"/>
      <c r="I40" s="367"/>
      <c r="J40" s="367"/>
      <c r="K40" s="367"/>
      <c r="L40" s="368"/>
      <c r="M40" s="120"/>
      <c r="N40" s="32"/>
      <c r="O40" s="32"/>
      <c r="P40" s="51"/>
      <c r="Q40" s="120"/>
      <c r="R40" s="121"/>
      <c r="S40" s="122"/>
      <c r="T40" s="128"/>
      <c r="U40" s="193"/>
      <c r="V40" s="318"/>
      <c r="W40" s="319"/>
      <c r="X40" s="128"/>
      <c r="Y40" s="193"/>
      <c r="Z40" s="318"/>
      <c r="AA40" s="319"/>
      <c r="AB40" s="128"/>
      <c r="AC40" s="193"/>
      <c r="AD40" s="318"/>
      <c r="AE40" s="319"/>
      <c r="AF40" s="128"/>
      <c r="AG40" s="128"/>
      <c r="AH40" s="128"/>
      <c r="AI40" s="128"/>
      <c r="AJ40" s="128"/>
      <c r="AK40" s="128"/>
      <c r="AL40" s="128"/>
      <c r="AM40" s="128"/>
      <c r="AN40" s="12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</row>
    <row r="41" spans="1:99" s="15" customFormat="1" ht="33.75">
      <c r="A41" s="85" t="s">
        <v>375</v>
      </c>
      <c r="D41" s="15" t="s">
        <v>14</v>
      </c>
      <c r="H41" s="147" t="s">
        <v>359</v>
      </c>
      <c r="I41" s="367"/>
      <c r="J41" s="472" t="s">
        <v>629</v>
      </c>
      <c r="K41" s="367"/>
      <c r="L41" s="368"/>
      <c r="M41" s="120"/>
      <c r="N41" s="32"/>
      <c r="O41" s="32"/>
      <c r="P41" s="51"/>
      <c r="Q41" s="120"/>
      <c r="R41" s="121"/>
      <c r="S41" s="122"/>
      <c r="T41" s="128"/>
      <c r="U41" s="193"/>
      <c r="V41" s="318"/>
      <c r="W41" s="319"/>
      <c r="X41" s="128"/>
      <c r="Y41" s="193"/>
      <c r="Z41" s="318"/>
      <c r="AA41" s="319"/>
      <c r="AB41" s="128"/>
      <c r="AC41" s="193"/>
      <c r="AD41" s="318"/>
      <c r="AE41" s="319"/>
      <c r="AF41" s="128"/>
      <c r="AG41" s="128"/>
      <c r="AH41" s="128"/>
      <c r="AI41" s="128"/>
      <c r="AJ41" s="128"/>
      <c r="AK41" s="128"/>
      <c r="AL41" s="128"/>
      <c r="AM41" s="128"/>
      <c r="AN41" s="12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</row>
    <row r="42" spans="1:99" s="15" customFormat="1" ht="11.25">
      <c r="A42" s="85"/>
      <c r="C42" s="15" t="s">
        <v>15</v>
      </c>
      <c r="H42" s="367"/>
      <c r="I42" s="367"/>
      <c r="J42" s="182"/>
      <c r="K42" s="367"/>
      <c r="L42" s="368"/>
      <c r="M42" s="120"/>
      <c r="N42" s="32"/>
      <c r="O42" s="32"/>
      <c r="P42" s="51"/>
      <c r="Q42" s="120"/>
      <c r="R42" s="121"/>
      <c r="S42" s="122"/>
      <c r="T42" s="128"/>
      <c r="U42" s="193"/>
      <c r="V42" s="318"/>
      <c r="W42" s="319"/>
      <c r="X42" s="128"/>
      <c r="Y42" s="193"/>
      <c r="Z42" s="318"/>
      <c r="AA42" s="319"/>
      <c r="AB42" s="128"/>
      <c r="AC42" s="193"/>
      <c r="AD42" s="318"/>
      <c r="AE42" s="319"/>
      <c r="AF42" s="128"/>
      <c r="AG42" s="128"/>
      <c r="AH42" s="128"/>
      <c r="AI42" s="128"/>
      <c r="AJ42" s="128"/>
      <c r="AK42" s="128"/>
      <c r="AL42" s="128"/>
      <c r="AM42" s="128"/>
      <c r="AN42" s="12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</row>
    <row r="43" spans="1:99" s="15" customFormat="1" ht="11.25">
      <c r="A43" s="85" t="s">
        <v>376</v>
      </c>
      <c r="D43" s="15" t="s">
        <v>11</v>
      </c>
      <c r="H43" s="367"/>
      <c r="I43" s="367"/>
      <c r="J43" s="182"/>
      <c r="K43" s="367"/>
      <c r="L43" s="368"/>
      <c r="M43" s="120"/>
      <c r="N43" s="32"/>
      <c r="O43" s="32"/>
      <c r="P43" s="51"/>
      <c r="Q43" s="120"/>
      <c r="R43" s="121"/>
      <c r="S43" s="122"/>
      <c r="T43" s="128"/>
      <c r="U43" s="193"/>
      <c r="V43" s="318"/>
      <c r="W43" s="319"/>
      <c r="X43" s="128"/>
      <c r="Y43" s="193"/>
      <c r="Z43" s="318"/>
      <c r="AA43" s="319"/>
      <c r="AB43" s="128"/>
      <c r="AC43" s="193"/>
      <c r="AD43" s="318"/>
      <c r="AE43" s="319"/>
      <c r="AF43" s="128"/>
      <c r="AG43" s="128"/>
      <c r="AH43" s="128"/>
      <c r="AI43" s="128"/>
      <c r="AJ43" s="128"/>
      <c r="AK43" s="128"/>
      <c r="AL43" s="128"/>
      <c r="AM43" s="128"/>
      <c r="AN43" s="12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</row>
    <row r="44" spans="1:99" s="15" customFormat="1" ht="11.25">
      <c r="A44" s="85" t="s">
        <v>377</v>
      </c>
      <c r="D44" s="15" t="s">
        <v>12</v>
      </c>
      <c r="H44" s="367"/>
      <c r="I44" s="367"/>
      <c r="J44" s="182"/>
      <c r="K44" s="367"/>
      <c r="L44" s="368"/>
      <c r="M44" s="120"/>
      <c r="N44" s="32"/>
      <c r="O44" s="32"/>
      <c r="P44" s="51"/>
      <c r="Q44" s="120"/>
      <c r="R44" s="122"/>
      <c r="S44" s="122"/>
      <c r="T44" s="128"/>
      <c r="U44" s="193"/>
      <c r="V44" s="319"/>
      <c r="W44" s="319"/>
      <c r="X44" s="128"/>
      <c r="Y44" s="193"/>
      <c r="Z44" s="319"/>
      <c r="AA44" s="319"/>
      <c r="AB44" s="128"/>
      <c r="AC44" s="193"/>
      <c r="AD44" s="319"/>
      <c r="AE44" s="319"/>
      <c r="AF44" s="128"/>
      <c r="AG44" s="128"/>
      <c r="AH44" s="128"/>
      <c r="AI44" s="128"/>
      <c r="AJ44" s="128"/>
      <c r="AK44" s="128"/>
      <c r="AL44" s="128"/>
      <c r="AM44" s="128"/>
      <c r="AN44" s="12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</row>
    <row r="45" spans="1:99" s="15" customFormat="1" ht="11.25">
      <c r="A45" s="85" t="s">
        <v>378</v>
      </c>
      <c r="D45" s="15" t="s">
        <v>13</v>
      </c>
      <c r="H45" s="367"/>
      <c r="I45" s="367"/>
      <c r="J45" s="182"/>
      <c r="K45" s="367"/>
      <c r="L45" s="368"/>
      <c r="M45" s="120"/>
      <c r="N45" s="32"/>
      <c r="O45" s="32"/>
      <c r="P45" s="51"/>
      <c r="Q45" s="120"/>
      <c r="R45" s="121"/>
      <c r="S45" s="122"/>
      <c r="T45" s="128"/>
      <c r="U45" s="193"/>
      <c r="V45" s="318"/>
      <c r="W45" s="319"/>
      <c r="X45" s="128"/>
      <c r="Y45" s="193"/>
      <c r="Z45" s="318"/>
      <c r="AA45" s="319"/>
      <c r="AB45" s="128"/>
      <c r="AC45" s="193"/>
      <c r="AD45" s="318"/>
      <c r="AE45" s="319"/>
      <c r="AF45" s="128"/>
      <c r="AG45" s="128"/>
      <c r="AH45" s="128"/>
      <c r="AI45" s="128"/>
      <c r="AJ45" s="128"/>
      <c r="AK45" s="128"/>
      <c r="AL45" s="128"/>
      <c r="AM45" s="128"/>
      <c r="AN45" s="12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</row>
    <row r="46" spans="1:99" s="15" customFormat="1" ht="11.25">
      <c r="A46" s="85" t="s">
        <v>379</v>
      </c>
      <c r="D46" s="15" t="s">
        <v>14</v>
      </c>
      <c r="H46" s="367"/>
      <c r="I46" s="367"/>
      <c r="J46" s="182"/>
      <c r="K46" s="367"/>
      <c r="L46" s="368"/>
      <c r="M46" s="120"/>
      <c r="N46" s="32"/>
      <c r="O46" s="32"/>
      <c r="P46" s="51"/>
      <c r="Q46" s="120"/>
      <c r="R46" s="121"/>
      <c r="S46" s="122"/>
      <c r="T46" s="128"/>
      <c r="U46" s="193"/>
      <c r="V46" s="318"/>
      <c r="W46" s="319"/>
      <c r="X46" s="128"/>
      <c r="Y46" s="193"/>
      <c r="Z46" s="318"/>
      <c r="AA46" s="319"/>
      <c r="AB46" s="128"/>
      <c r="AC46" s="193"/>
      <c r="AD46" s="318"/>
      <c r="AE46" s="319"/>
      <c r="AF46" s="128"/>
      <c r="AG46" s="128"/>
      <c r="AH46" s="128"/>
      <c r="AI46" s="128"/>
      <c r="AJ46" s="128"/>
      <c r="AK46" s="128"/>
      <c r="AL46" s="128"/>
      <c r="AM46" s="128"/>
      <c r="AN46" s="12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</row>
    <row r="47" spans="1:99" s="15" customFormat="1" ht="11.25">
      <c r="A47" s="85"/>
      <c r="C47" s="15" t="s">
        <v>16</v>
      </c>
      <c r="H47" s="367"/>
      <c r="I47" s="367"/>
      <c r="J47" s="182"/>
      <c r="K47" s="367"/>
      <c r="L47" s="368"/>
      <c r="M47" s="120"/>
      <c r="N47" s="348"/>
      <c r="O47" s="32"/>
      <c r="P47" s="51"/>
      <c r="Q47" s="120"/>
      <c r="R47" s="32"/>
      <c r="S47" s="32"/>
      <c r="T47" s="128"/>
      <c r="U47" s="193"/>
      <c r="V47" s="45"/>
      <c r="W47" s="45"/>
      <c r="X47" s="128"/>
      <c r="Y47" s="193"/>
      <c r="Z47" s="45"/>
      <c r="AA47" s="45"/>
      <c r="AB47" s="128"/>
      <c r="AC47" s="193"/>
      <c r="AD47" s="45"/>
      <c r="AE47" s="45"/>
      <c r="AF47" s="128"/>
      <c r="AG47" s="128"/>
      <c r="AH47" s="128"/>
      <c r="AI47" s="128"/>
      <c r="AJ47" s="128"/>
      <c r="AK47" s="128"/>
      <c r="AL47" s="128"/>
      <c r="AM47" s="128"/>
      <c r="AN47" s="12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</row>
    <row r="48" spans="1:99" s="15" customFormat="1" ht="11.25">
      <c r="A48" s="85"/>
      <c r="C48" s="15" t="s">
        <v>10</v>
      </c>
      <c r="H48" s="367"/>
      <c r="I48" s="367"/>
      <c r="J48" s="182"/>
      <c r="K48" s="367"/>
      <c r="L48" s="368"/>
      <c r="M48" s="120"/>
      <c r="N48" s="32"/>
      <c r="O48" s="32"/>
      <c r="P48" s="51"/>
      <c r="Q48" s="120"/>
      <c r="R48" s="121"/>
      <c r="S48" s="122"/>
      <c r="T48" s="128"/>
      <c r="U48" s="193"/>
      <c r="V48" s="318"/>
      <c r="W48" s="319"/>
      <c r="X48" s="128"/>
      <c r="Y48" s="193"/>
      <c r="Z48" s="318"/>
      <c r="AA48" s="319"/>
      <c r="AB48" s="128"/>
      <c r="AC48" s="193"/>
      <c r="AD48" s="318"/>
      <c r="AE48" s="319"/>
      <c r="AF48" s="128"/>
      <c r="AG48" s="128"/>
      <c r="AH48" s="128"/>
      <c r="AI48" s="128"/>
      <c r="AJ48" s="128"/>
      <c r="AK48" s="128"/>
      <c r="AL48" s="128"/>
      <c r="AM48" s="128"/>
      <c r="AN48" s="12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</row>
    <row r="49" spans="1:99" s="15" customFormat="1" ht="11.25">
      <c r="A49" s="85" t="s">
        <v>380</v>
      </c>
      <c r="D49" s="15" t="s">
        <v>17</v>
      </c>
      <c r="H49" s="367"/>
      <c r="I49" s="367"/>
      <c r="J49" s="182"/>
      <c r="K49" s="367"/>
      <c r="L49" s="368"/>
      <c r="M49" s="120"/>
      <c r="N49" s="32"/>
      <c r="O49" s="32"/>
      <c r="P49" s="51"/>
      <c r="Q49" s="120"/>
      <c r="R49" s="122"/>
      <c r="S49" s="122"/>
      <c r="T49" s="128"/>
      <c r="U49" s="193"/>
      <c r="V49" s="319"/>
      <c r="W49" s="319"/>
      <c r="X49" s="128"/>
      <c r="Y49" s="193"/>
      <c r="Z49" s="319"/>
      <c r="AA49" s="319"/>
      <c r="AB49" s="128"/>
      <c r="AC49" s="193"/>
      <c r="AD49" s="319"/>
      <c r="AE49" s="319"/>
      <c r="AF49" s="128"/>
      <c r="AG49" s="128"/>
      <c r="AH49" s="128"/>
      <c r="AI49" s="128"/>
      <c r="AJ49" s="128"/>
      <c r="AK49" s="128"/>
      <c r="AL49" s="128"/>
      <c r="AM49" s="128"/>
      <c r="AN49" s="12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</row>
    <row r="50" spans="1:99" s="15" customFormat="1" ht="22.5">
      <c r="A50" s="85" t="s">
        <v>381</v>
      </c>
      <c r="D50" s="15" t="s">
        <v>18</v>
      </c>
      <c r="H50" s="147" t="s">
        <v>360</v>
      </c>
      <c r="I50" s="367"/>
      <c r="J50" s="472" t="s">
        <v>630</v>
      </c>
      <c r="K50" s="367"/>
      <c r="L50" s="368"/>
      <c r="M50" s="120"/>
      <c r="N50" s="32"/>
      <c r="O50" s="32"/>
      <c r="P50" s="51"/>
      <c r="Q50" s="120"/>
      <c r="R50" s="32"/>
      <c r="S50" s="122"/>
      <c r="T50" s="128"/>
      <c r="U50" s="193"/>
      <c r="V50" s="45"/>
      <c r="W50" s="319"/>
      <c r="X50" s="128"/>
      <c r="Y50" s="193"/>
      <c r="Z50" s="45"/>
      <c r="AA50" s="319"/>
      <c r="AB50" s="128"/>
      <c r="AC50" s="193"/>
      <c r="AD50" s="45"/>
      <c r="AE50" s="319"/>
      <c r="AF50" s="128"/>
      <c r="AG50" s="128"/>
      <c r="AH50" s="128"/>
      <c r="AI50" s="128"/>
      <c r="AJ50" s="128"/>
      <c r="AK50" s="128"/>
      <c r="AL50" s="128"/>
      <c r="AM50" s="128"/>
      <c r="AN50" s="12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</row>
    <row r="51" spans="1:99" s="15" customFormat="1" ht="11.25">
      <c r="A51" s="85"/>
      <c r="C51" s="15" t="s">
        <v>15</v>
      </c>
      <c r="H51" s="367"/>
      <c r="I51" s="367"/>
      <c r="J51" s="367"/>
      <c r="K51" s="367"/>
      <c r="L51" s="368"/>
      <c r="M51" s="120"/>
      <c r="N51" s="32"/>
      <c r="O51" s="32"/>
      <c r="P51" s="51"/>
      <c r="Q51" s="120"/>
      <c r="R51" s="122"/>
      <c r="S51" s="122"/>
      <c r="T51" s="128"/>
      <c r="U51" s="193"/>
      <c r="V51" s="319"/>
      <c r="W51" s="319"/>
      <c r="X51" s="128"/>
      <c r="Y51" s="193"/>
      <c r="Z51" s="319"/>
      <c r="AA51" s="319"/>
      <c r="AB51" s="128"/>
      <c r="AC51" s="193"/>
      <c r="AD51" s="319"/>
      <c r="AE51" s="319"/>
      <c r="AF51" s="128"/>
      <c r="AG51" s="128"/>
      <c r="AH51" s="128"/>
      <c r="AI51" s="128"/>
      <c r="AJ51" s="128"/>
      <c r="AK51" s="128"/>
      <c r="AL51" s="128"/>
      <c r="AM51" s="128"/>
      <c r="AN51" s="12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</row>
    <row r="52" spans="1:99" s="15" customFormat="1" ht="11.25">
      <c r="A52" s="85" t="s">
        <v>382</v>
      </c>
      <c r="D52" s="15" t="s">
        <v>17</v>
      </c>
      <c r="H52" s="367"/>
      <c r="I52" s="367"/>
      <c r="J52" s="367"/>
      <c r="K52" s="367"/>
      <c r="L52" s="368"/>
      <c r="M52" s="120"/>
      <c r="N52" s="32"/>
      <c r="O52" s="32"/>
      <c r="P52" s="51"/>
      <c r="Q52" s="120"/>
      <c r="R52" s="122"/>
      <c r="S52" s="122"/>
      <c r="T52" s="128"/>
      <c r="U52" s="193"/>
      <c r="V52" s="319"/>
      <c r="W52" s="319"/>
      <c r="X52" s="128"/>
      <c r="Y52" s="193"/>
      <c r="Z52" s="319"/>
      <c r="AA52" s="319"/>
      <c r="AB52" s="128"/>
      <c r="AC52" s="193"/>
      <c r="AD52" s="319"/>
      <c r="AE52" s="319"/>
      <c r="AF52" s="128"/>
      <c r="AG52" s="128"/>
      <c r="AH52" s="128"/>
      <c r="AI52" s="128"/>
      <c r="AJ52" s="128"/>
      <c r="AK52" s="128"/>
      <c r="AL52" s="128"/>
      <c r="AM52" s="128"/>
      <c r="AN52" s="12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</row>
    <row r="53" spans="1:99" s="15" customFormat="1" ht="11.25">
      <c r="A53" s="85" t="s">
        <v>383</v>
      </c>
      <c r="D53" s="15" t="s">
        <v>19</v>
      </c>
      <c r="H53" s="367"/>
      <c r="I53" s="367"/>
      <c r="J53" s="367"/>
      <c r="K53" s="367"/>
      <c r="L53" s="368"/>
      <c r="M53" s="120"/>
      <c r="N53" s="348"/>
      <c r="O53" s="32"/>
      <c r="P53" s="51"/>
      <c r="Q53" s="120"/>
      <c r="R53" s="122"/>
      <c r="S53" s="122"/>
      <c r="T53" s="128"/>
      <c r="U53" s="193"/>
      <c r="V53" s="319"/>
      <c r="W53" s="319"/>
      <c r="X53" s="128"/>
      <c r="Y53" s="193"/>
      <c r="Z53" s="319"/>
      <c r="AA53" s="319"/>
      <c r="AB53" s="128"/>
      <c r="AC53" s="193"/>
      <c r="AD53" s="319"/>
      <c r="AE53" s="319"/>
      <c r="AF53" s="128"/>
      <c r="AG53" s="128"/>
      <c r="AH53" s="128"/>
      <c r="AI53" s="128"/>
      <c r="AJ53" s="128"/>
      <c r="AK53" s="128"/>
      <c r="AL53" s="128"/>
      <c r="AM53" s="128"/>
      <c r="AN53" s="12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</row>
    <row r="54" spans="1:99" s="15" customFormat="1" ht="11.25">
      <c r="A54" s="85"/>
      <c r="C54" s="15" t="s">
        <v>20</v>
      </c>
      <c r="H54" s="367"/>
      <c r="I54" s="367"/>
      <c r="J54" s="367"/>
      <c r="K54" s="367"/>
      <c r="L54" s="368"/>
      <c r="M54" s="120"/>
      <c r="N54" s="348"/>
      <c r="O54" s="32"/>
      <c r="P54" s="51"/>
      <c r="Q54" s="120"/>
      <c r="R54" s="32"/>
      <c r="S54" s="32"/>
      <c r="T54" s="128"/>
      <c r="U54" s="193"/>
      <c r="V54" s="45"/>
      <c r="W54" s="45"/>
      <c r="X54" s="128"/>
      <c r="Y54" s="193"/>
      <c r="Z54" s="45"/>
      <c r="AA54" s="45"/>
      <c r="AB54" s="128"/>
      <c r="AC54" s="193"/>
      <c r="AD54" s="45"/>
      <c r="AE54" s="45"/>
      <c r="AF54" s="128"/>
      <c r="AG54" s="128"/>
      <c r="AH54" s="128"/>
      <c r="AI54" s="128"/>
      <c r="AJ54" s="128"/>
      <c r="AK54" s="128"/>
      <c r="AL54" s="128"/>
      <c r="AM54" s="128"/>
      <c r="AN54" s="12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</row>
    <row r="55" spans="1:99" s="15" customFormat="1" ht="11.25">
      <c r="A55" s="85"/>
      <c r="B55" s="15" t="s">
        <v>355</v>
      </c>
      <c r="H55" s="367"/>
      <c r="I55" s="367"/>
      <c r="J55" s="367"/>
      <c r="K55" s="367"/>
      <c r="L55" s="368"/>
      <c r="M55" s="120"/>
      <c r="N55" s="348"/>
      <c r="O55" s="32"/>
      <c r="P55" s="51"/>
      <c r="Q55" s="120"/>
      <c r="R55" s="32"/>
      <c r="S55" s="32"/>
      <c r="T55" s="128"/>
      <c r="U55" s="193"/>
      <c r="V55" s="45"/>
      <c r="W55" s="45"/>
      <c r="X55" s="128"/>
      <c r="Y55" s="193"/>
      <c r="Z55" s="45"/>
      <c r="AA55" s="45"/>
      <c r="AB55" s="128"/>
      <c r="AC55" s="193"/>
      <c r="AD55" s="45"/>
      <c r="AE55" s="45"/>
      <c r="AF55" s="128"/>
      <c r="AG55" s="128"/>
      <c r="AH55" s="128"/>
      <c r="AI55" s="128"/>
      <c r="AJ55" s="128"/>
      <c r="AK55" s="128"/>
      <c r="AL55" s="128"/>
      <c r="AM55" s="128"/>
      <c r="AN55" s="12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</row>
    <row r="56" spans="1:99" s="15" customFormat="1" ht="11.25">
      <c r="A56" s="85"/>
      <c r="H56" s="367"/>
      <c r="I56" s="367"/>
      <c r="J56" s="367"/>
      <c r="K56" s="367"/>
      <c r="L56" s="368"/>
      <c r="M56" s="120"/>
      <c r="N56" s="348"/>
      <c r="O56" s="32"/>
      <c r="P56" s="51"/>
      <c r="Q56" s="120"/>
      <c r="R56" s="32"/>
      <c r="S56" s="32"/>
      <c r="T56" s="128"/>
      <c r="U56" s="193"/>
      <c r="V56" s="45"/>
      <c r="W56" s="45"/>
      <c r="X56" s="128"/>
      <c r="Y56" s="193"/>
      <c r="Z56" s="45"/>
      <c r="AA56" s="45"/>
      <c r="AB56" s="128"/>
      <c r="AC56" s="193"/>
      <c r="AD56" s="45"/>
      <c r="AE56" s="45"/>
      <c r="AF56" s="128"/>
      <c r="AG56" s="128"/>
      <c r="AH56" s="128"/>
      <c r="AI56" s="128"/>
      <c r="AJ56" s="128"/>
      <c r="AK56" s="128"/>
      <c r="AL56" s="128"/>
      <c r="AM56" s="128"/>
      <c r="AN56" s="12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</row>
    <row r="57" spans="1:99" s="15" customFormat="1" ht="11.25">
      <c r="A57" s="85" t="s">
        <v>384</v>
      </c>
      <c r="B57" s="98" t="s">
        <v>361</v>
      </c>
      <c r="C57" s="98"/>
      <c r="E57" s="352"/>
      <c r="F57" s="352"/>
      <c r="G57" s="352"/>
      <c r="H57" s="367" t="s">
        <v>363</v>
      </c>
      <c r="I57" s="367"/>
      <c r="J57" s="367"/>
      <c r="K57" s="367"/>
      <c r="L57" s="368"/>
      <c r="M57" s="120"/>
      <c r="N57" s="32"/>
      <c r="O57" s="32"/>
      <c r="P57" s="51"/>
      <c r="Q57" s="51"/>
      <c r="R57" s="32"/>
      <c r="S57" s="122"/>
      <c r="T57" s="128"/>
      <c r="U57" s="128"/>
      <c r="V57" s="45"/>
      <c r="W57" s="319"/>
      <c r="X57" s="128"/>
      <c r="Y57" s="128"/>
      <c r="Z57" s="45"/>
      <c r="AA57" s="319"/>
      <c r="AB57" s="128"/>
      <c r="AC57" s="128"/>
      <c r="AD57" s="45"/>
      <c r="AE57" s="319"/>
      <c r="AF57" s="128"/>
      <c r="AG57" s="128"/>
      <c r="AH57" s="128"/>
      <c r="AI57" s="128"/>
      <c r="AJ57" s="128"/>
      <c r="AK57" s="128"/>
      <c r="AL57" s="128"/>
      <c r="AM57" s="128"/>
      <c r="AN57" s="12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</row>
    <row r="58" spans="1:99" s="15" customFormat="1" ht="11.25">
      <c r="A58" s="85"/>
      <c r="C58" s="15" t="s">
        <v>31</v>
      </c>
      <c r="E58" s="352"/>
      <c r="F58" s="352"/>
      <c r="G58" s="352"/>
      <c r="H58" s="369"/>
      <c r="I58" s="368"/>
      <c r="J58" s="368"/>
      <c r="K58" s="368"/>
      <c r="L58" s="368"/>
      <c r="M58" s="120"/>
      <c r="N58" s="32"/>
      <c r="O58" s="32"/>
      <c r="P58" s="51"/>
      <c r="Q58" s="51"/>
      <c r="R58" s="32"/>
      <c r="S58" s="122"/>
      <c r="T58" s="128"/>
      <c r="U58" s="128"/>
      <c r="V58" s="45"/>
      <c r="W58" s="319"/>
      <c r="X58" s="128"/>
      <c r="Y58" s="128"/>
      <c r="Z58" s="45"/>
      <c r="AA58" s="319"/>
      <c r="AB58" s="128"/>
      <c r="AC58" s="128"/>
      <c r="AD58" s="45"/>
      <c r="AE58" s="319"/>
      <c r="AF58" s="128"/>
      <c r="AG58" s="128"/>
      <c r="AH58" s="128"/>
      <c r="AI58" s="128"/>
      <c r="AJ58" s="128"/>
      <c r="AK58" s="128"/>
      <c r="AL58" s="128"/>
      <c r="AM58" s="128"/>
      <c r="AN58" s="12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</row>
    <row r="59" spans="1:99" s="15" customFormat="1" ht="22.5">
      <c r="A59" s="85" t="s">
        <v>385</v>
      </c>
      <c r="D59" s="15" t="s">
        <v>177</v>
      </c>
      <c r="E59" s="352"/>
      <c r="F59" s="352"/>
      <c r="G59" s="352"/>
      <c r="H59" s="147" t="s">
        <v>364</v>
      </c>
      <c r="I59" s="367"/>
      <c r="J59" s="367"/>
      <c r="K59" s="367"/>
      <c r="L59" s="368"/>
      <c r="M59" s="120"/>
      <c r="N59" s="32"/>
      <c r="O59" s="32"/>
      <c r="P59" s="51"/>
      <c r="Q59" s="51"/>
      <c r="R59" s="348"/>
      <c r="S59" s="122"/>
      <c r="T59" s="128"/>
      <c r="U59" s="128"/>
      <c r="V59" s="349"/>
      <c r="W59" s="319"/>
      <c r="X59" s="128"/>
      <c r="Y59" s="128"/>
      <c r="Z59" s="349"/>
      <c r="AA59" s="319"/>
      <c r="AB59" s="128"/>
      <c r="AC59" s="128"/>
      <c r="AD59" s="349"/>
      <c r="AE59" s="319"/>
      <c r="AF59" s="128"/>
      <c r="AG59" s="128"/>
      <c r="AH59" s="128"/>
      <c r="AI59" s="128"/>
      <c r="AJ59" s="128"/>
      <c r="AK59" s="128"/>
      <c r="AL59" s="128"/>
      <c r="AM59" s="128"/>
      <c r="AN59" s="12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</row>
    <row r="60" spans="1:99" s="15" customFormat="1" ht="11.25">
      <c r="A60" s="85" t="s">
        <v>386</v>
      </c>
      <c r="D60" s="15" t="s">
        <v>178</v>
      </c>
      <c r="E60" s="352"/>
      <c r="F60" s="352"/>
      <c r="G60" s="352"/>
      <c r="H60" s="370"/>
      <c r="I60" s="367"/>
      <c r="J60" s="367"/>
      <c r="K60" s="367"/>
      <c r="L60" s="368"/>
      <c r="M60" s="120"/>
      <c r="N60" s="32"/>
      <c r="O60" s="32"/>
      <c r="P60" s="51"/>
      <c r="Q60" s="51"/>
      <c r="R60" s="348"/>
      <c r="S60" s="122"/>
      <c r="T60" s="128"/>
      <c r="U60" s="128"/>
      <c r="V60" s="349"/>
      <c r="W60" s="319"/>
      <c r="X60" s="128"/>
      <c r="Y60" s="128"/>
      <c r="Z60" s="349"/>
      <c r="AA60" s="319"/>
      <c r="AB60" s="128"/>
      <c r="AC60" s="128"/>
      <c r="AD60" s="349"/>
      <c r="AE60" s="319"/>
      <c r="AF60" s="128"/>
      <c r="AG60" s="128"/>
      <c r="AH60" s="128"/>
      <c r="AI60" s="128"/>
      <c r="AJ60" s="128"/>
      <c r="AK60" s="128"/>
      <c r="AL60" s="128"/>
      <c r="AM60" s="128"/>
      <c r="AN60" s="12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</row>
    <row r="61" spans="1:99" s="15" customFormat="1" ht="11.25">
      <c r="A61" s="85"/>
      <c r="C61" s="15" t="s">
        <v>10</v>
      </c>
      <c r="E61" s="352"/>
      <c r="F61" s="352"/>
      <c r="G61" s="352"/>
      <c r="H61" s="140" t="s">
        <v>328</v>
      </c>
      <c r="I61" s="367"/>
      <c r="J61" s="367"/>
      <c r="K61" s="367"/>
      <c r="L61" s="368"/>
      <c r="M61" s="120"/>
      <c r="N61" s="32"/>
      <c r="O61" s="32"/>
      <c r="P61" s="51"/>
      <c r="Q61" s="51"/>
      <c r="R61" s="121"/>
      <c r="S61" s="122"/>
      <c r="T61" s="128"/>
      <c r="U61" s="128"/>
      <c r="V61" s="318"/>
      <c r="W61" s="319"/>
      <c r="X61" s="128"/>
      <c r="Y61" s="128"/>
      <c r="Z61" s="318"/>
      <c r="AA61" s="319"/>
      <c r="AB61" s="128"/>
      <c r="AC61" s="128"/>
      <c r="AD61" s="318"/>
      <c r="AE61" s="319"/>
      <c r="AF61" s="128"/>
      <c r="AG61" s="128"/>
      <c r="AH61" s="128"/>
      <c r="AI61" s="128"/>
      <c r="AJ61" s="128"/>
      <c r="AK61" s="128"/>
      <c r="AL61" s="128"/>
      <c r="AM61" s="128"/>
      <c r="AN61" s="12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</row>
    <row r="62" spans="1:99" s="15" customFormat="1" ht="11.25">
      <c r="A62" s="85" t="s">
        <v>387</v>
      </c>
      <c r="D62" s="15" t="s">
        <v>11</v>
      </c>
      <c r="E62" s="352"/>
      <c r="F62" s="352"/>
      <c r="G62" s="352"/>
      <c r="H62" s="370"/>
      <c r="I62" s="367"/>
      <c r="J62" s="367"/>
      <c r="K62" s="367"/>
      <c r="L62" s="368"/>
      <c r="M62" s="120"/>
      <c r="N62" s="348"/>
      <c r="O62" s="32"/>
      <c r="P62" s="51"/>
      <c r="Q62" s="120"/>
      <c r="R62" s="32"/>
      <c r="S62" s="122"/>
      <c r="T62" s="128"/>
      <c r="U62" s="193"/>
      <c r="V62" s="45"/>
      <c r="W62" s="319"/>
      <c r="X62" s="128"/>
      <c r="Y62" s="193"/>
      <c r="Z62" s="45"/>
      <c r="AA62" s="319"/>
      <c r="AB62" s="128"/>
      <c r="AC62" s="193"/>
      <c r="AD62" s="45"/>
      <c r="AE62" s="319"/>
      <c r="AF62" s="128"/>
      <c r="AG62" s="128"/>
      <c r="AH62" s="128"/>
      <c r="AI62" s="128"/>
      <c r="AJ62" s="128"/>
      <c r="AK62" s="128"/>
      <c r="AL62" s="128"/>
      <c r="AM62" s="128"/>
      <c r="AN62" s="12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</row>
    <row r="63" spans="1:99" s="15" customFormat="1" ht="11.25">
      <c r="A63" s="85" t="s">
        <v>388</v>
      </c>
      <c r="D63" s="15" t="s">
        <v>12</v>
      </c>
      <c r="E63" s="352"/>
      <c r="F63" s="352"/>
      <c r="G63" s="352"/>
      <c r="H63" s="370"/>
      <c r="I63" s="367"/>
      <c r="J63" s="367"/>
      <c r="K63" s="367"/>
      <c r="L63" s="368"/>
      <c r="M63" s="120"/>
      <c r="N63" s="32"/>
      <c r="O63" s="32"/>
      <c r="P63" s="51"/>
      <c r="Q63" s="120"/>
      <c r="R63" s="122"/>
      <c r="S63" s="122"/>
      <c r="T63" s="128"/>
      <c r="U63" s="350"/>
      <c r="V63" s="319"/>
      <c r="W63" s="319"/>
      <c r="X63" s="128"/>
      <c r="Y63" s="350"/>
      <c r="Z63" s="319"/>
      <c r="AA63" s="319"/>
      <c r="AB63" s="128"/>
      <c r="AC63" s="350"/>
      <c r="AD63" s="319"/>
      <c r="AE63" s="319"/>
      <c r="AF63" s="128"/>
      <c r="AG63" s="128"/>
      <c r="AH63" s="128"/>
      <c r="AI63" s="128"/>
      <c r="AJ63" s="128"/>
      <c r="AK63" s="128"/>
      <c r="AL63" s="128"/>
      <c r="AM63" s="128"/>
      <c r="AN63" s="12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</row>
    <row r="64" spans="1:99" s="15" customFormat="1" ht="22.5">
      <c r="A64" s="85" t="s">
        <v>389</v>
      </c>
      <c r="D64" s="15" t="s">
        <v>13</v>
      </c>
      <c r="E64" s="352"/>
      <c r="F64" s="352"/>
      <c r="G64" s="352"/>
      <c r="H64" s="147" t="s">
        <v>366</v>
      </c>
      <c r="I64" s="367"/>
      <c r="J64" s="367"/>
      <c r="K64" s="367"/>
      <c r="L64" s="368"/>
      <c r="M64" s="120"/>
      <c r="N64" s="32"/>
      <c r="O64" s="32"/>
      <c r="P64" s="51"/>
      <c r="Q64" s="120"/>
      <c r="R64" s="121"/>
      <c r="S64" s="122"/>
      <c r="T64" s="128"/>
      <c r="U64" s="193"/>
      <c r="V64" s="318"/>
      <c r="W64" s="319"/>
      <c r="X64" s="128"/>
      <c r="Y64" s="193"/>
      <c r="Z64" s="318"/>
      <c r="AA64" s="319"/>
      <c r="AB64" s="128"/>
      <c r="AC64" s="193"/>
      <c r="AD64" s="318"/>
      <c r="AE64" s="319"/>
      <c r="AF64" s="128"/>
      <c r="AG64" s="128"/>
      <c r="AH64" s="128"/>
      <c r="AI64" s="128"/>
      <c r="AJ64" s="128"/>
      <c r="AK64" s="128"/>
      <c r="AL64" s="128"/>
      <c r="AM64" s="128"/>
      <c r="AN64" s="12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</row>
    <row r="65" spans="1:99" s="15" customFormat="1" ht="33.75">
      <c r="A65" s="85" t="s">
        <v>390</v>
      </c>
      <c r="D65" s="15" t="s">
        <v>14</v>
      </c>
      <c r="E65" s="352"/>
      <c r="F65" s="352"/>
      <c r="G65" s="352"/>
      <c r="H65" s="147" t="s">
        <v>365</v>
      </c>
      <c r="I65" s="367"/>
      <c r="J65" s="472" t="s">
        <v>629</v>
      </c>
      <c r="K65" s="367"/>
      <c r="L65" s="368"/>
      <c r="M65" s="120"/>
      <c r="N65" s="32"/>
      <c r="O65" s="32"/>
      <c r="P65" s="51"/>
      <c r="Q65" s="120"/>
      <c r="R65" s="121"/>
      <c r="S65" s="122"/>
      <c r="T65" s="128"/>
      <c r="U65" s="193"/>
      <c r="V65" s="318"/>
      <c r="W65" s="319"/>
      <c r="X65" s="128"/>
      <c r="Y65" s="193"/>
      <c r="Z65" s="318"/>
      <c r="AA65" s="319"/>
      <c r="AB65" s="128"/>
      <c r="AC65" s="193"/>
      <c r="AD65" s="318"/>
      <c r="AE65" s="319"/>
      <c r="AF65" s="128"/>
      <c r="AG65" s="128"/>
      <c r="AH65" s="128"/>
      <c r="AI65" s="128"/>
      <c r="AJ65" s="128"/>
      <c r="AK65" s="128"/>
      <c r="AL65" s="128"/>
      <c r="AM65" s="128"/>
      <c r="AN65" s="12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</row>
    <row r="66" spans="1:99" s="15" customFormat="1" ht="11.25">
      <c r="A66" s="85"/>
      <c r="C66" s="15" t="s">
        <v>15</v>
      </c>
      <c r="E66" s="352"/>
      <c r="F66" s="352"/>
      <c r="G66" s="352"/>
      <c r="H66" s="371"/>
      <c r="I66" s="367"/>
      <c r="J66" s="182"/>
      <c r="K66" s="367"/>
      <c r="L66" s="368"/>
      <c r="M66" s="120"/>
      <c r="N66" s="32"/>
      <c r="O66" s="32"/>
      <c r="P66" s="51"/>
      <c r="Q66" s="120"/>
      <c r="R66" s="121"/>
      <c r="S66" s="122"/>
      <c r="T66" s="128"/>
      <c r="U66" s="193"/>
      <c r="V66" s="318"/>
      <c r="W66" s="319"/>
      <c r="X66" s="128"/>
      <c r="Y66" s="193"/>
      <c r="Z66" s="318"/>
      <c r="AA66" s="319"/>
      <c r="AB66" s="128"/>
      <c r="AC66" s="193"/>
      <c r="AD66" s="318"/>
      <c r="AE66" s="319"/>
      <c r="AF66" s="128"/>
      <c r="AG66" s="128"/>
      <c r="AH66" s="128"/>
      <c r="AI66" s="128"/>
      <c r="AJ66" s="128"/>
      <c r="AK66" s="128"/>
      <c r="AL66" s="128"/>
      <c r="AM66" s="128"/>
      <c r="AN66" s="12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</row>
    <row r="67" spans="1:99" s="15" customFormat="1" ht="11.25">
      <c r="A67" s="85" t="s">
        <v>391</v>
      </c>
      <c r="D67" s="15" t="s">
        <v>11</v>
      </c>
      <c r="E67" s="352"/>
      <c r="F67" s="352"/>
      <c r="G67" s="352"/>
      <c r="H67" s="371"/>
      <c r="I67" s="367"/>
      <c r="J67" s="182"/>
      <c r="K67" s="367"/>
      <c r="L67" s="368"/>
      <c r="M67" s="120"/>
      <c r="N67" s="32"/>
      <c r="O67" s="32"/>
      <c r="P67" s="51"/>
      <c r="Q67" s="120"/>
      <c r="R67" s="121"/>
      <c r="S67" s="122"/>
      <c r="T67" s="128"/>
      <c r="U67" s="193"/>
      <c r="V67" s="318"/>
      <c r="W67" s="319"/>
      <c r="X67" s="128"/>
      <c r="Y67" s="193"/>
      <c r="Z67" s="318"/>
      <c r="AA67" s="319"/>
      <c r="AB67" s="128"/>
      <c r="AC67" s="193"/>
      <c r="AD67" s="318"/>
      <c r="AE67" s="319"/>
      <c r="AF67" s="128"/>
      <c r="AG67" s="128"/>
      <c r="AH67" s="128"/>
      <c r="AI67" s="128"/>
      <c r="AJ67" s="128"/>
      <c r="AK67" s="128"/>
      <c r="AL67" s="128"/>
      <c r="AM67" s="128"/>
      <c r="AN67" s="12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</row>
    <row r="68" spans="1:99" s="15" customFormat="1" ht="11.25">
      <c r="A68" s="85" t="s">
        <v>392</v>
      </c>
      <c r="D68" s="15" t="s">
        <v>12</v>
      </c>
      <c r="E68" s="352"/>
      <c r="F68" s="352"/>
      <c r="G68" s="352"/>
      <c r="H68" s="371"/>
      <c r="I68" s="367"/>
      <c r="J68" s="182"/>
      <c r="K68" s="367"/>
      <c r="L68" s="368"/>
      <c r="M68" s="120"/>
      <c r="N68" s="32"/>
      <c r="O68" s="32"/>
      <c r="P68" s="51"/>
      <c r="Q68" s="120"/>
      <c r="R68" s="122"/>
      <c r="S68" s="122"/>
      <c r="T68" s="128"/>
      <c r="U68" s="193"/>
      <c r="V68" s="319"/>
      <c r="W68" s="319"/>
      <c r="X68" s="128"/>
      <c r="Y68" s="193"/>
      <c r="Z68" s="319"/>
      <c r="AA68" s="319"/>
      <c r="AB68" s="128"/>
      <c r="AC68" s="193"/>
      <c r="AD68" s="319"/>
      <c r="AE68" s="319"/>
      <c r="AF68" s="128"/>
      <c r="AG68" s="128"/>
      <c r="AH68" s="128"/>
      <c r="AI68" s="128"/>
      <c r="AJ68" s="128"/>
      <c r="AK68" s="128"/>
      <c r="AL68" s="128"/>
      <c r="AM68" s="128"/>
      <c r="AN68" s="12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</row>
    <row r="69" spans="1:99" s="15" customFormat="1" ht="11.25">
      <c r="A69" s="85" t="s">
        <v>393</v>
      </c>
      <c r="D69" s="15" t="s">
        <v>13</v>
      </c>
      <c r="E69" s="352"/>
      <c r="F69" s="352"/>
      <c r="G69" s="352"/>
      <c r="H69" s="371"/>
      <c r="I69" s="367"/>
      <c r="J69" s="182"/>
      <c r="K69" s="367"/>
      <c r="L69" s="368"/>
      <c r="M69" s="120"/>
      <c r="N69" s="32"/>
      <c r="O69" s="32"/>
      <c r="P69" s="51"/>
      <c r="Q69" s="120"/>
      <c r="R69" s="121"/>
      <c r="S69" s="122"/>
      <c r="T69" s="128"/>
      <c r="U69" s="193"/>
      <c r="V69" s="318"/>
      <c r="W69" s="319"/>
      <c r="X69" s="128"/>
      <c r="Y69" s="193"/>
      <c r="Z69" s="318"/>
      <c r="AA69" s="319"/>
      <c r="AB69" s="128"/>
      <c r="AC69" s="193"/>
      <c r="AD69" s="318"/>
      <c r="AE69" s="319"/>
      <c r="AF69" s="128"/>
      <c r="AG69" s="128"/>
      <c r="AH69" s="128"/>
      <c r="AI69" s="128"/>
      <c r="AJ69" s="128"/>
      <c r="AK69" s="128"/>
      <c r="AL69" s="128"/>
      <c r="AM69" s="128"/>
      <c r="AN69" s="12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</row>
    <row r="70" spans="1:99" s="15" customFormat="1" ht="11.25">
      <c r="A70" s="85" t="s">
        <v>394</v>
      </c>
      <c r="D70" s="15" t="s">
        <v>14</v>
      </c>
      <c r="E70" s="352"/>
      <c r="F70" s="352"/>
      <c r="G70" s="352"/>
      <c r="H70" s="371"/>
      <c r="I70" s="367"/>
      <c r="J70" s="182"/>
      <c r="K70" s="367"/>
      <c r="L70" s="368"/>
      <c r="M70" s="120"/>
      <c r="N70" s="32"/>
      <c r="O70" s="32"/>
      <c r="P70" s="51"/>
      <c r="Q70" s="120"/>
      <c r="R70" s="121"/>
      <c r="S70" s="122"/>
      <c r="T70" s="128"/>
      <c r="U70" s="193"/>
      <c r="V70" s="318"/>
      <c r="W70" s="319"/>
      <c r="X70" s="128"/>
      <c r="Y70" s="193"/>
      <c r="Z70" s="318"/>
      <c r="AA70" s="319"/>
      <c r="AB70" s="128"/>
      <c r="AC70" s="193"/>
      <c r="AD70" s="318"/>
      <c r="AE70" s="319"/>
      <c r="AF70" s="128"/>
      <c r="AG70" s="128"/>
      <c r="AH70" s="128"/>
      <c r="AI70" s="128"/>
      <c r="AJ70" s="128"/>
      <c r="AK70" s="128"/>
      <c r="AL70" s="128"/>
      <c r="AM70" s="128"/>
      <c r="AN70" s="12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</row>
    <row r="71" spans="1:99" s="15" customFormat="1" ht="11.25">
      <c r="A71" s="85"/>
      <c r="C71" s="15" t="s">
        <v>16</v>
      </c>
      <c r="E71" s="352"/>
      <c r="F71" s="352"/>
      <c r="G71" s="352"/>
      <c r="H71" s="371"/>
      <c r="I71" s="367"/>
      <c r="J71" s="182"/>
      <c r="K71" s="367"/>
      <c r="L71" s="368"/>
      <c r="M71" s="120"/>
      <c r="N71" s="348"/>
      <c r="O71" s="32"/>
      <c r="P71" s="51"/>
      <c r="Q71" s="120"/>
      <c r="R71" s="32"/>
      <c r="S71" s="32"/>
      <c r="T71" s="128"/>
      <c r="U71" s="193"/>
      <c r="V71" s="45"/>
      <c r="W71" s="45"/>
      <c r="X71" s="128"/>
      <c r="Y71" s="193"/>
      <c r="Z71" s="45"/>
      <c r="AA71" s="45"/>
      <c r="AB71" s="128"/>
      <c r="AC71" s="193"/>
      <c r="AD71" s="45"/>
      <c r="AE71" s="45"/>
      <c r="AF71" s="128"/>
      <c r="AG71" s="128"/>
      <c r="AH71" s="128"/>
      <c r="AI71" s="128"/>
      <c r="AJ71" s="128"/>
      <c r="AK71" s="128"/>
      <c r="AL71" s="128"/>
      <c r="AM71" s="128"/>
      <c r="AN71" s="12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</row>
    <row r="72" spans="1:99" s="15" customFormat="1" ht="11.25">
      <c r="A72" s="85"/>
      <c r="C72" s="15" t="s">
        <v>10</v>
      </c>
      <c r="E72" s="352"/>
      <c r="F72" s="352"/>
      <c r="G72" s="352"/>
      <c r="H72" s="371"/>
      <c r="I72" s="367"/>
      <c r="J72" s="182"/>
      <c r="K72" s="367"/>
      <c r="L72" s="368"/>
      <c r="M72" s="120"/>
      <c r="N72" s="32"/>
      <c r="O72" s="32"/>
      <c r="P72" s="51"/>
      <c r="Q72" s="120"/>
      <c r="R72" s="121"/>
      <c r="S72" s="122"/>
      <c r="T72" s="128"/>
      <c r="U72" s="193"/>
      <c r="V72" s="318"/>
      <c r="W72" s="319"/>
      <c r="X72" s="128"/>
      <c r="Y72" s="193"/>
      <c r="Z72" s="318"/>
      <c r="AA72" s="319"/>
      <c r="AB72" s="128"/>
      <c r="AC72" s="193"/>
      <c r="AD72" s="318"/>
      <c r="AE72" s="319"/>
      <c r="AF72" s="128"/>
      <c r="AG72" s="128"/>
      <c r="AH72" s="128"/>
      <c r="AI72" s="128"/>
      <c r="AJ72" s="128"/>
      <c r="AK72" s="128"/>
      <c r="AL72" s="128"/>
      <c r="AM72" s="128"/>
      <c r="AN72" s="12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</row>
    <row r="73" spans="1:99" s="15" customFormat="1" ht="11.25">
      <c r="A73" s="85" t="s">
        <v>395</v>
      </c>
      <c r="D73" s="15" t="s">
        <v>17</v>
      </c>
      <c r="E73" s="352"/>
      <c r="F73" s="352"/>
      <c r="G73" s="352"/>
      <c r="H73" s="371"/>
      <c r="I73" s="367"/>
      <c r="J73" s="182"/>
      <c r="K73" s="367"/>
      <c r="L73" s="368"/>
      <c r="M73" s="120"/>
      <c r="N73" s="32"/>
      <c r="O73" s="32"/>
      <c r="P73" s="51"/>
      <c r="Q73" s="120"/>
      <c r="R73" s="122"/>
      <c r="S73" s="122"/>
      <c r="T73" s="128"/>
      <c r="U73" s="193"/>
      <c r="V73" s="319"/>
      <c r="W73" s="319"/>
      <c r="X73" s="128"/>
      <c r="Y73" s="193"/>
      <c r="Z73" s="319"/>
      <c r="AA73" s="319"/>
      <c r="AB73" s="128"/>
      <c r="AC73" s="193"/>
      <c r="AD73" s="319"/>
      <c r="AE73" s="319"/>
      <c r="AF73" s="128"/>
      <c r="AG73" s="128"/>
      <c r="AH73" s="128"/>
      <c r="AI73" s="128"/>
      <c r="AJ73" s="128"/>
      <c r="AK73" s="128"/>
      <c r="AL73" s="128"/>
      <c r="AM73" s="128"/>
      <c r="AN73" s="12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</row>
    <row r="74" spans="1:99" s="15" customFormat="1" ht="22.5">
      <c r="A74" s="85" t="s">
        <v>396</v>
      </c>
      <c r="D74" s="15" t="s">
        <v>18</v>
      </c>
      <c r="E74" s="352"/>
      <c r="F74" s="352"/>
      <c r="G74" s="352"/>
      <c r="H74" s="370"/>
      <c r="I74" s="367"/>
      <c r="J74" s="472" t="s">
        <v>632</v>
      </c>
      <c r="K74" s="367"/>
      <c r="L74" s="368"/>
      <c r="M74" s="120"/>
      <c r="N74" s="32"/>
      <c r="O74" s="32"/>
      <c r="P74" s="51"/>
      <c r="Q74" s="120"/>
      <c r="R74" s="32"/>
      <c r="S74" s="122"/>
      <c r="T74" s="128"/>
      <c r="U74" s="193"/>
      <c r="V74" s="45"/>
      <c r="W74" s="319"/>
      <c r="X74" s="128"/>
      <c r="Y74" s="193"/>
      <c r="Z74" s="45"/>
      <c r="AA74" s="319"/>
      <c r="AB74" s="128"/>
      <c r="AC74" s="193"/>
      <c r="AD74" s="45"/>
      <c r="AE74" s="319"/>
      <c r="AF74" s="128"/>
      <c r="AG74" s="128"/>
      <c r="AH74" s="128"/>
      <c r="AI74" s="128"/>
      <c r="AJ74" s="128"/>
      <c r="AK74" s="128"/>
      <c r="AL74" s="128"/>
      <c r="AM74" s="128"/>
      <c r="AN74" s="12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</row>
    <row r="75" spans="1:99" s="15" customFormat="1" ht="11.25">
      <c r="A75" s="85"/>
      <c r="C75" s="15" t="s">
        <v>15</v>
      </c>
      <c r="E75" s="352"/>
      <c r="F75" s="352"/>
      <c r="G75" s="352"/>
      <c r="H75" s="371"/>
      <c r="I75" s="367"/>
      <c r="J75" s="367"/>
      <c r="K75" s="367"/>
      <c r="L75" s="368"/>
      <c r="M75" s="120"/>
      <c r="N75" s="32"/>
      <c r="O75" s="32"/>
      <c r="P75" s="51"/>
      <c r="Q75" s="120"/>
      <c r="R75" s="122"/>
      <c r="S75" s="122"/>
      <c r="T75" s="128"/>
      <c r="U75" s="193"/>
      <c r="V75" s="319"/>
      <c r="W75" s="319"/>
      <c r="X75" s="128"/>
      <c r="Y75" s="193"/>
      <c r="Z75" s="319"/>
      <c r="AA75" s="319"/>
      <c r="AB75" s="128"/>
      <c r="AC75" s="193"/>
      <c r="AD75" s="319"/>
      <c r="AE75" s="319"/>
      <c r="AF75" s="128"/>
      <c r="AG75" s="128"/>
      <c r="AH75" s="128"/>
      <c r="AI75" s="128"/>
      <c r="AJ75" s="128"/>
      <c r="AK75" s="128"/>
      <c r="AL75" s="128"/>
      <c r="AM75" s="128"/>
      <c r="AN75" s="12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</row>
    <row r="76" spans="1:99" s="15" customFormat="1" ht="11.25">
      <c r="A76" s="85" t="s">
        <v>397</v>
      </c>
      <c r="D76" s="15" t="s">
        <v>17</v>
      </c>
      <c r="E76" s="352"/>
      <c r="F76" s="352"/>
      <c r="G76" s="352"/>
      <c r="H76" s="371"/>
      <c r="I76" s="367"/>
      <c r="J76" s="367"/>
      <c r="K76" s="367"/>
      <c r="L76" s="368"/>
      <c r="M76" s="120"/>
      <c r="N76" s="32"/>
      <c r="O76" s="32"/>
      <c r="P76" s="51"/>
      <c r="Q76" s="120"/>
      <c r="R76" s="122"/>
      <c r="S76" s="122"/>
      <c r="T76" s="128"/>
      <c r="U76" s="193"/>
      <c r="V76" s="319"/>
      <c r="W76" s="319"/>
      <c r="X76" s="128"/>
      <c r="Y76" s="193"/>
      <c r="Z76" s="319"/>
      <c r="AA76" s="319"/>
      <c r="AB76" s="128"/>
      <c r="AC76" s="193"/>
      <c r="AD76" s="319"/>
      <c r="AE76" s="319"/>
      <c r="AF76" s="128"/>
      <c r="AG76" s="128"/>
      <c r="AH76" s="128"/>
      <c r="AI76" s="128"/>
      <c r="AJ76" s="128"/>
      <c r="AK76" s="128"/>
      <c r="AL76" s="128"/>
      <c r="AM76" s="128"/>
      <c r="AN76" s="12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</row>
    <row r="77" spans="1:99" s="15" customFormat="1" ht="11.25">
      <c r="A77" s="85" t="s">
        <v>398</v>
      </c>
      <c r="D77" s="15" t="s">
        <v>19</v>
      </c>
      <c r="E77" s="352"/>
      <c r="F77" s="352"/>
      <c r="G77" s="352"/>
      <c r="H77" s="371"/>
      <c r="I77" s="367"/>
      <c r="J77" s="367"/>
      <c r="K77" s="367"/>
      <c r="L77" s="368"/>
      <c r="M77" s="120"/>
      <c r="N77" s="348"/>
      <c r="O77" s="32"/>
      <c r="P77" s="51"/>
      <c r="Q77" s="120"/>
      <c r="R77" s="122"/>
      <c r="S77" s="122"/>
      <c r="T77" s="128"/>
      <c r="U77" s="193"/>
      <c r="V77" s="319"/>
      <c r="W77" s="319"/>
      <c r="X77" s="128"/>
      <c r="Y77" s="193"/>
      <c r="Z77" s="319"/>
      <c r="AA77" s="319"/>
      <c r="AB77" s="128"/>
      <c r="AC77" s="193"/>
      <c r="AD77" s="319"/>
      <c r="AE77" s="319"/>
      <c r="AF77" s="128"/>
      <c r="AG77" s="128"/>
      <c r="AH77" s="128"/>
      <c r="AI77" s="128"/>
      <c r="AJ77" s="128"/>
      <c r="AK77" s="128"/>
      <c r="AL77" s="128"/>
      <c r="AM77" s="128"/>
      <c r="AN77" s="12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</row>
    <row r="78" spans="1:99" s="15" customFormat="1" ht="11.25">
      <c r="A78" s="85"/>
      <c r="C78" s="15" t="s">
        <v>20</v>
      </c>
      <c r="E78" s="352"/>
      <c r="F78" s="352"/>
      <c r="G78" s="352"/>
      <c r="H78" s="371"/>
      <c r="I78" s="367"/>
      <c r="J78" s="367"/>
      <c r="K78" s="367"/>
      <c r="L78" s="368"/>
      <c r="M78" s="120"/>
      <c r="N78" s="348"/>
      <c r="O78" s="32"/>
      <c r="P78" s="51"/>
      <c r="Q78" s="120"/>
      <c r="R78" s="32"/>
      <c r="S78" s="32"/>
      <c r="T78" s="128"/>
      <c r="U78" s="193"/>
      <c r="V78" s="45"/>
      <c r="W78" s="45"/>
      <c r="X78" s="128"/>
      <c r="Y78" s="193"/>
      <c r="Z78" s="45"/>
      <c r="AA78" s="45"/>
      <c r="AB78" s="128"/>
      <c r="AC78" s="193"/>
      <c r="AD78" s="45"/>
      <c r="AE78" s="45"/>
      <c r="AF78" s="128"/>
      <c r="AG78" s="128"/>
      <c r="AH78" s="128"/>
      <c r="AI78" s="128"/>
      <c r="AJ78" s="128"/>
      <c r="AK78" s="128"/>
      <c r="AL78" s="128"/>
      <c r="AM78" s="128"/>
      <c r="AN78" s="12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</row>
    <row r="79" spans="1:99" s="15" customFormat="1" ht="11.25">
      <c r="A79" s="85"/>
      <c r="B79" s="15" t="s">
        <v>362</v>
      </c>
      <c r="E79" s="352"/>
      <c r="F79" s="352"/>
      <c r="G79" s="352"/>
      <c r="H79" s="371"/>
      <c r="I79" s="367"/>
      <c r="J79" s="367"/>
      <c r="K79" s="367"/>
      <c r="L79" s="368"/>
      <c r="M79" s="120"/>
      <c r="N79" s="348"/>
      <c r="O79" s="32"/>
      <c r="P79" s="51"/>
      <c r="Q79" s="120"/>
      <c r="R79" s="32"/>
      <c r="S79" s="32"/>
      <c r="T79" s="128"/>
      <c r="U79" s="193"/>
      <c r="V79" s="45"/>
      <c r="W79" s="45"/>
      <c r="X79" s="128"/>
      <c r="Y79" s="193"/>
      <c r="Z79" s="45"/>
      <c r="AA79" s="45"/>
      <c r="AB79" s="128"/>
      <c r="AC79" s="193"/>
      <c r="AD79" s="45"/>
      <c r="AE79" s="45"/>
      <c r="AF79" s="128"/>
      <c r="AG79" s="128"/>
      <c r="AH79" s="128"/>
      <c r="AI79" s="128"/>
      <c r="AJ79" s="128"/>
      <c r="AK79" s="128"/>
      <c r="AL79" s="128"/>
      <c r="AM79" s="128"/>
      <c r="AN79" s="12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</row>
    <row r="80" spans="1:227" ht="12">
      <c r="A80" s="85"/>
      <c r="C80" s="35"/>
      <c r="D80" s="35"/>
      <c r="H80" s="140"/>
      <c r="I80" s="140"/>
      <c r="J80" s="143"/>
      <c r="K80" s="143"/>
      <c r="L80" s="143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  <c r="HE80" s="128"/>
      <c r="HF80" s="128"/>
      <c r="HG80" s="128"/>
      <c r="HH80" s="128"/>
      <c r="HI80" s="128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</row>
    <row r="81" spans="1:227" ht="33.75">
      <c r="A81" s="85" t="s">
        <v>399</v>
      </c>
      <c r="B81" s="98" t="s">
        <v>26</v>
      </c>
      <c r="H81" s="147" t="s">
        <v>332</v>
      </c>
      <c r="I81" s="140"/>
      <c r="J81" s="143"/>
      <c r="K81" s="143"/>
      <c r="L81" s="143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</row>
    <row r="82" spans="1:227" ht="12" thickBot="1">
      <c r="A82" s="90" t="s">
        <v>400</v>
      </c>
      <c r="B82" s="177" t="s">
        <v>27</v>
      </c>
      <c r="C82" s="177"/>
      <c r="D82" s="177"/>
      <c r="E82" s="177"/>
      <c r="F82" s="177"/>
      <c r="G82" s="177"/>
      <c r="H82" s="140"/>
      <c r="I82" s="178"/>
      <c r="J82" s="145"/>
      <c r="K82" s="145"/>
      <c r="L82" s="145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</row>
    <row r="83" spans="1:227" ht="12" thickTop="1">
      <c r="A83" s="106"/>
      <c r="B83" s="93" t="s">
        <v>187</v>
      </c>
      <c r="C83" s="179"/>
      <c r="D83" s="179"/>
      <c r="E83" s="179"/>
      <c r="F83" s="179"/>
      <c r="G83" s="179"/>
      <c r="H83" s="180"/>
      <c r="I83" s="180"/>
      <c r="J83" s="149"/>
      <c r="K83" s="149"/>
      <c r="L83" s="149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</row>
    <row r="84" spans="1:227" ht="11.25">
      <c r="A84" s="97"/>
      <c r="H84" s="140"/>
      <c r="I84" s="140"/>
      <c r="J84" s="143"/>
      <c r="K84" s="143"/>
      <c r="L84" s="143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</row>
    <row r="85" spans="1:227" s="15" customFormat="1" ht="12">
      <c r="A85" s="85">
        <v>2</v>
      </c>
      <c r="B85" s="35" t="s">
        <v>267</v>
      </c>
      <c r="C85" s="51"/>
      <c r="D85" s="51"/>
      <c r="E85" s="51"/>
      <c r="F85" s="51"/>
      <c r="G85" s="51"/>
      <c r="H85" s="367" t="s">
        <v>274</v>
      </c>
      <c r="I85" s="367"/>
      <c r="J85" s="162"/>
      <c r="K85" s="367"/>
      <c r="L85" s="368"/>
      <c r="M85" s="120"/>
      <c r="N85" s="32"/>
      <c r="O85" s="32"/>
      <c r="P85" s="128"/>
      <c r="Q85" s="193"/>
      <c r="R85" s="45"/>
      <c r="S85" s="45"/>
      <c r="T85" s="128"/>
      <c r="U85" s="193"/>
      <c r="V85" s="45"/>
      <c r="W85" s="45"/>
      <c r="X85" s="128"/>
      <c r="Y85" s="193"/>
      <c r="Z85" s="45"/>
      <c r="AA85" s="45"/>
      <c r="AB85" s="128"/>
      <c r="AC85" s="193"/>
      <c r="AD85" s="45"/>
      <c r="AE85" s="45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</row>
    <row r="86" spans="1:227" s="15" customFormat="1" ht="11.25">
      <c r="A86" s="85"/>
      <c r="B86" s="98"/>
      <c r="C86" s="51"/>
      <c r="D86" s="51"/>
      <c r="E86" s="51"/>
      <c r="F86" s="51"/>
      <c r="G86" s="51"/>
      <c r="H86" s="367"/>
      <c r="I86" s="367"/>
      <c r="J86" s="367"/>
      <c r="K86" s="367"/>
      <c r="L86" s="368"/>
      <c r="M86" s="120"/>
      <c r="N86" s="32"/>
      <c r="O86" s="32"/>
      <c r="P86" s="128"/>
      <c r="Q86" s="193"/>
      <c r="R86" s="45"/>
      <c r="S86" s="45"/>
      <c r="T86" s="128"/>
      <c r="U86" s="193"/>
      <c r="V86" s="45"/>
      <c r="W86" s="45"/>
      <c r="X86" s="128"/>
      <c r="Y86" s="193"/>
      <c r="Z86" s="45"/>
      <c r="AA86" s="45"/>
      <c r="AB86" s="128"/>
      <c r="AC86" s="193"/>
      <c r="AD86" s="45"/>
      <c r="AE86" s="45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</row>
    <row r="87" spans="1:227" s="15" customFormat="1" ht="11.25">
      <c r="A87" s="85" t="s">
        <v>21</v>
      </c>
      <c r="B87" s="15" t="s">
        <v>31</v>
      </c>
      <c r="D87" s="51"/>
      <c r="E87" s="51"/>
      <c r="F87" s="51"/>
      <c r="G87" s="51"/>
      <c r="H87" s="367"/>
      <c r="I87" s="367"/>
      <c r="J87" s="367"/>
      <c r="K87" s="367"/>
      <c r="L87" s="368"/>
      <c r="M87" s="120"/>
      <c r="N87" s="32"/>
      <c r="O87" s="32"/>
      <c r="P87" s="128"/>
      <c r="Q87" s="193"/>
      <c r="R87" s="45"/>
      <c r="S87" s="45"/>
      <c r="T87" s="128"/>
      <c r="U87" s="193"/>
      <c r="V87" s="45"/>
      <c r="W87" s="45"/>
      <c r="X87" s="128"/>
      <c r="Y87" s="193"/>
      <c r="Z87" s="45"/>
      <c r="AA87" s="45"/>
      <c r="AB87" s="128"/>
      <c r="AC87" s="193"/>
      <c r="AD87" s="45"/>
      <c r="AE87" s="45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</row>
    <row r="88" spans="1:227" s="15" customFormat="1" ht="57">
      <c r="A88" s="85" t="s">
        <v>51</v>
      </c>
      <c r="C88" s="15" t="s">
        <v>177</v>
      </c>
      <c r="D88" s="51"/>
      <c r="E88" s="51"/>
      <c r="F88" s="51"/>
      <c r="G88" s="51"/>
      <c r="H88" s="372" t="s">
        <v>278</v>
      </c>
      <c r="I88" s="367"/>
      <c r="J88" s="367"/>
      <c r="K88" s="367"/>
      <c r="L88" s="368"/>
      <c r="M88" s="120"/>
      <c r="N88" s="32"/>
      <c r="O88" s="32"/>
      <c r="P88" s="128"/>
      <c r="Q88" s="193"/>
      <c r="R88" s="45"/>
      <c r="S88" s="45"/>
      <c r="T88" s="128"/>
      <c r="U88" s="193"/>
      <c r="V88" s="45"/>
      <c r="W88" s="45"/>
      <c r="X88" s="128"/>
      <c r="Y88" s="193"/>
      <c r="Z88" s="45"/>
      <c r="AA88" s="45"/>
      <c r="AB88" s="128"/>
      <c r="AC88" s="193"/>
      <c r="AD88" s="45"/>
      <c r="AE88" s="45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</row>
    <row r="89" spans="1:227" s="15" customFormat="1" ht="11.25">
      <c r="A89" s="85" t="s">
        <v>52</v>
      </c>
      <c r="C89" s="15" t="s">
        <v>178</v>
      </c>
      <c r="D89" s="51"/>
      <c r="E89" s="51"/>
      <c r="F89" s="51"/>
      <c r="G89" s="51"/>
      <c r="H89" s="367"/>
      <c r="I89" s="367"/>
      <c r="J89" s="367"/>
      <c r="K89" s="367"/>
      <c r="L89" s="368"/>
      <c r="M89" s="120"/>
      <c r="N89" s="32"/>
      <c r="O89" s="32"/>
      <c r="P89" s="128"/>
      <c r="Q89" s="193"/>
      <c r="R89" s="45"/>
      <c r="S89" s="45"/>
      <c r="T89" s="128"/>
      <c r="U89" s="193"/>
      <c r="V89" s="45"/>
      <c r="W89" s="45"/>
      <c r="X89" s="128"/>
      <c r="Y89" s="193"/>
      <c r="Z89" s="45"/>
      <c r="AA89" s="45"/>
      <c r="AB89" s="128"/>
      <c r="AC89" s="193"/>
      <c r="AD89" s="45"/>
      <c r="AE89" s="45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</row>
    <row r="90" spans="1:227" s="15" customFormat="1" ht="11.25">
      <c r="A90" s="85" t="s">
        <v>22</v>
      </c>
      <c r="B90" s="98" t="s">
        <v>272</v>
      </c>
      <c r="C90" s="51"/>
      <c r="D90" s="51"/>
      <c r="E90" s="51"/>
      <c r="F90" s="51"/>
      <c r="G90" s="51"/>
      <c r="H90" s="367" t="s">
        <v>275</v>
      </c>
      <c r="I90" s="367"/>
      <c r="J90" s="367"/>
      <c r="K90" s="367"/>
      <c r="L90" s="368"/>
      <c r="M90" s="120"/>
      <c r="N90" s="32"/>
      <c r="O90" s="32"/>
      <c r="P90" s="128"/>
      <c r="Q90" s="193"/>
      <c r="R90" s="45"/>
      <c r="S90" s="45"/>
      <c r="T90" s="128"/>
      <c r="U90" s="193"/>
      <c r="V90" s="45"/>
      <c r="W90" s="45"/>
      <c r="X90" s="128"/>
      <c r="Y90" s="193"/>
      <c r="Z90" s="45"/>
      <c r="AA90" s="45"/>
      <c r="AB90" s="128"/>
      <c r="AC90" s="193"/>
      <c r="AD90" s="45"/>
      <c r="AE90" s="45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</row>
    <row r="91" spans="1:227" s="15" customFormat="1" ht="11.25">
      <c r="A91" s="85" t="s">
        <v>23</v>
      </c>
      <c r="B91" s="98" t="s">
        <v>271</v>
      </c>
      <c r="C91" s="51"/>
      <c r="D91" s="51"/>
      <c r="E91" s="51"/>
      <c r="F91" s="51"/>
      <c r="G91" s="51"/>
      <c r="H91" s="367" t="s">
        <v>276</v>
      </c>
      <c r="I91" s="367"/>
      <c r="J91" s="367"/>
      <c r="K91" s="367"/>
      <c r="L91" s="368"/>
      <c r="M91" s="120"/>
      <c r="N91" s="32"/>
      <c r="O91" s="32"/>
      <c r="P91" s="128"/>
      <c r="Q91" s="193"/>
      <c r="R91" s="45"/>
      <c r="S91" s="45"/>
      <c r="T91" s="128"/>
      <c r="U91" s="193"/>
      <c r="V91" s="45"/>
      <c r="W91" s="45"/>
      <c r="X91" s="128"/>
      <c r="Y91" s="193"/>
      <c r="Z91" s="45"/>
      <c r="AA91" s="45"/>
      <c r="AB91" s="128"/>
      <c r="AC91" s="193"/>
      <c r="AD91" s="45"/>
      <c r="AE91" s="45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</row>
    <row r="92" spans="1:227" s="15" customFormat="1" ht="11.25">
      <c r="A92" s="85" t="s">
        <v>24</v>
      </c>
      <c r="B92" s="98" t="s">
        <v>273</v>
      </c>
      <c r="C92" s="51"/>
      <c r="D92" s="51"/>
      <c r="E92" s="51"/>
      <c r="F92" s="51"/>
      <c r="G92" s="51"/>
      <c r="H92" s="367" t="s">
        <v>277</v>
      </c>
      <c r="I92" s="367"/>
      <c r="J92" s="367"/>
      <c r="K92" s="367"/>
      <c r="L92" s="368"/>
      <c r="M92" s="120"/>
      <c r="N92" s="32"/>
      <c r="O92" s="32"/>
      <c r="P92" s="128"/>
      <c r="Q92" s="193"/>
      <c r="R92" s="45"/>
      <c r="S92" s="45"/>
      <c r="T92" s="128"/>
      <c r="U92" s="193"/>
      <c r="V92" s="45"/>
      <c r="W92" s="45"/>
      <c r="X92" s="128"/>
      <c r="Y92" s="193"/>
      <c r="Z92" s="45"/>
      <c r="AA92" s="45"/>
      <c r="AB92" s="128"/>
      <c r="AC92" s="193"/>
      <c r="AD92" s="45"/>
      <c r="AE92" s="45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</row>
    <row r="93" spans="1:227" s="15" customFormat="1" ht="11.25">
      <c r="A93" s="85"/>
      <c r="B93" s="98"/>
      <c r="C93" s="51"/>
      <c r="D93" s="51"/>
      <c r="E93" s="51"/>
      <c r="F93" s="51"/>
      <c r="G93" s="51"/>
      <c r="H93" s="367"/>
      <c r="I93" s="367"/>
      <c r="J93" s="367"/>
      <c r="K93" s="367"/>
      <c r="L93" s="368"/>
      <c r="M93" s="120"/>
      <c r="N93" s="32"/>
      <c r="O93" s="32"/>
      <c r="P93" s="128"/>
      <c r="Q93" s="193"/>
      <c r="R93" s="45"/>
      <c r="S93" s="45"/>
      <c r="T93" s="128"/>
      <c r="U93" s="193"/>
      <c r="V93" s="45"/>
      <c r="W93" s="45"/>
      <c r="X93" s="128"/>
      <c r="Y93" s="193"/>
      <c r="Z93" s="45"/>
      <c r="AA93" s="45"/>
      <c r="AB93" s="128"/>
      <c r="AC93" s="193"/>
      <c r="AD93" s="45"/>
      <c r="AE93" s="45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</row>
    <row r="94" spans="1:227" s="15" customFormat="1" ht="11.25">
      <c r="A94" s="85" t="s">
        <v>25</v>
      </c>
      <c r="B94" s="98" t="s">
        <v>301</v>
      </c>
      <c r="C94" s="98"/>
      <c r="H94" s="367" t="s">
        <v>303</v>
      </c>
      <c r="I94" s="367"/>
      <c r="J94" s="367"/>
      <c r="K94" s="367"/>
      <c r="L94" s="368"/>
      <c r="M94" s="120"/>
      <c r="N94" s="32"/>
      <c r="O94" s="32"/>
      <c r="P94" s="51"/>
      <c r="Q94" s="51"/>
      <c r="R94" s="32"/>
      <c r="S94" s="122"/>
      <c r="T94" s="128"/>
      <c r="U94" s="128"/>
      <c r="V94" s="45"/>
      <c r="W94" s="319"/>
      <c r="X94" s="128"/>
      <c r="Y94" s="128"/>
      <c r="Z94" s="45"/>
      <c r="AA94" s="319"/>
      <c r="AB94" s="128"/>
      <c r="AC94" s="128"/>
      <c r="AD94" s="45"/>
      <c r="AE94" s="319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</row>
    <row r="95" spans="1:227" s="15" customFormat="1" ht="11.25">
      <c r="A95" s="85"/>
      <c r="C95" s="15" t="s">
        <v>31</v>
      </c>
      <c r="H95" s="368"/>
      <c r="I95" s="368"/>
      <c r="J95" s="368"/>
      <c r="K95" s="368"/>
      <c r="L95" s="368"/>
      <c r="M95" s="120"/>
      <c r="N95" s="32"/>
      <c r="O95" s="32"/>
      <c r="P95" s="51"/>
      <c r="Q95" s="51"/>
      <c r="R95" s="32"/>
      <c r="S95" s="122"/>
      <c r="T95" s="128"/>
      <c r="U95" s="128"/>
      <c r="V95" s="45"/>
      <c r="W95" s="319"/>
      <c r="X95" s="128"/>
      <c r="Y95" s="128"/>
      <c r="Z95" s="45"/>
      <c r="AA95" s="319"/>
      <c r="AB95" s="128"/>
      <c r="AC95" s="128"/>
      <c r="AD95" s="45"/>
      <c r="AE95" s="319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</row>
    <row r="96" spans="1:227" s="15" customFormat="1" ht="57">
      <c r="A96" s="102" t="s">
        <v>133</v>
      </c>
      <c r="D96" s="15" t="s">
        <v>177</v>
      </c>
      <c r="H96" s="372" t="s">
        <v>304</v>
      </c>
      <c r="I96" s="367"/>
      <c r="J96" s="367"/>
      <c r="K96" s="367"/>
      <c r="L96" s="368"/>
      <c r="M96" s="120"/>
      <c r="N96" s="32"/>
      <c r="O96" s="32"/>
      <c r="P96" s="51"/>
      <c r="Q96" s="51"/>
      <c r="R96" s="348"/>
      <c r="S96" s="122"/>
      <c r="T96" s="128"/>
      <c r="U96" s="128"/>
      <c r="V96" s="349"/>
      <c r="W96" s="319"/>
      <c r="X96" s="128"/>
      <c r="Y96" s="128"/>
      <c r="Z96" s="349"/>
      <c r="AA96" s="319"/>
      <c r="AB96" s="128"/>
      <c r="AC96" s="128"/>
      <c r="AD96" s="349"/>
      <c r="AE96" s="319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</row>
    <row r="97" spans="1:227" s="15" customFormat="1" ht="11.25">
      <c r="A97" s="102" t="s">
        <v>134</v>
      </c>
      <c r="D97" s="15" t="s">
        <v>178</v>
      </c>
      <c r="H97" s="367" t="s">
        <v>305</v>
      </c>
      <c r="I97" s="367"/>
      <c r="J97" s="367"/>
      <c r="K97" s="367"/>
      <c r="L97" s="368"/>
      <c r="M97" s="120"/>
      <c r="N97" s="32"/>
      <c r="O97" s="32"/>
      <c r="P97" s="51"/>
      <c r="Q97" s="51"/>
      <c r="R97" s="348"/>
      <c r="S97" s="122"/>
      <c r="T97" s="128"/>
      <c r="U97" s="128"/>
      <c r="V97" s="349"/>
      <c r="W97" s="319"/>
      <c r="X97" s="128"/>
      <c r="Y97" s="128"/>
      <c r="Z97" s="349"/>
      <c r="AA97" s="319"/>
      <c r="AB97" s="128"/>
      <c r="AC97" s="128"/>
      <c r="AD97" s="349"/>
      <c r="AE97" s="319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</row>
    <row r="98" spans="1:227" s="15" customFormat="1" ht="11.25">
      <c r="A98" s="102" t="s">
        <v>135</v>
      </c>
      <c r="C98" s="15" t="s">
        <v>300</v>
      </c>
      <c r="H98" s="367" t="s">
        <v>306</v>
      </c>
      <c r="I98" s="367"/>
      <c r="J98" s="367"/>
      <c r="K98" s="367"/>
      <c r="L98" s="368"/>
      <c r="M98" s="120"/>
      <c r="N98" s="32"/>
      <c r="O98" s="32"/>
      <c r="P98" s="51"/>
      <c r="Q98" s="51"/>
      <c r="R98" s="348"/>
      <c r="S98" s="122"/>
      <c r="T98" s="128"/>
      <c r="U98" s="128"/>
      <c r="V98" s="349"/>
      <c r="W98" s="319"/>
      <c r="X98" s="128"/>
      <c r="Y98" s="128"/>
      <c r="Z98" s="349"/>
      <c r="AA98" s="319"/>
      <c r="AB98" s="128"/>
      <c r="AC98" s="128"/>
      <c r="AD98" s="349"/>
      <c r="AE98" s="319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</row>
    <row r="99" spans="1:227" s="15" customFormat="1" ht="11.25">
      <c r="A99" s="102"/>
      <c r="C99" s="15" t="s">
        <v>10</v>
      </c>
      <c r="H99" s="147" t="s">
        <v>247</v>
      </c>
      <c r="I99" s="367"/>
      <c r="J99" s="367"/>
      <c r="K99" s="367"/>
      <c r="L99" s="368"/>
      <c r="M99" s="120"/>
      <c r="N99" s="32"/>
      <c r="O99" s="32"/>
      <c r="P99" s="51"/>
      <c r="Q99" s="51"/>
      <c r="R99" s="121"/>
      <c r="S99" s="122"/>
      <c r="T99" s="128"/>
      <c r="U99" s="128"/>
      <c r="V99" s="318"/>
      <c r="W99" s="319"/>
      <c r="X99" s="128"/>
      <c r="Y99" s="128"/>
      <c r="Z99" s="318"/>
      <c r="AA99" s="319"/>
      <c r="AB99" s="128"/>
      <c r="AC99" s="128"/>
      <c r="AD99" s="318"/>
      <c r="AE99" s="319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</row>
    <row r="100" spans="1:227" s="15" customFormat="1" ht="25.5" customHeight="1">
      <c r="A100" s="102" t="s">
        <v>136</v>
      </c>
      <c r="D100" s="15" t="s">
        <v>11</v>
      </c>
      <c r="H100" s="372" t="s">
        <v>307</v>
      </c>
      <c r="I100" s="367"/>
      <c r="J100" s="367"/>
      <c r="K100" s="367"/>
      <c r="L100" s="368"/>
      <c r="M100" s="120"/>
      <c r="N100" s="348"/>
      <c r="O100" s="32"/>
      <c r="P100" s="51"/>
      <c r="Q100" s="120"/>
      <c r="R100" s="32"/>
      <c r="S100" s="122"/>
      <c r="T100" s="128"/>
      <c r="U100" s="193"/>
      <c r="V100" s="45"/>
      <c r="W100" s="319"/>
      <c r="X100" s="128"/>
      <c r="Y100" s="193"/>
      <c r="Z100" s="45"/>
      <c r="AA100" s="319"/>
      <c r="AB100" s="128"/>
      <c r="AC100" s="193"/>
      <c r="AD100" s="45"/>
      <c r="AE100" s="319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</row>
    <row r="101" spans="1:227" s="15" customFormat="1" ht="11.25">
      <c r="A101" s="102" t="s">
        <v>137</v>
      </c>
      <c r="D101" s="15" t="s">
        <v>12</v>
      </c>
      <c r="H101" s="372"/>
      <c r="I101" s="367"/>
      <c r="J101" s="367"/>
      <c r="K101" s="367"/>
      <c r="L101" s="368"/>
      <c r="M101" s="120"/>
      <c r="N101" s="32"/>
      <c r="O101" s="32"/>
      <c r="P101" s="51"/>
      <c r="Q101" s="120"/>
      <c r="R101" s="122"/>
      <c r="S101" s="122"/>
      <c r="T101" s="128"/>
      <c r="U101" s="350"/>
      <c r="V101" s="319"/>
      <c r="W101" s="319"/>
      <c r="X101" s="128"/>
      <c r="Y101" s="350"/>
      <c r="Z101" s="319"/>
      <c r="AA101" s="319"/>
      <c r="AB101" s="128"/>
      <c r="AC101" s="350"/>
      <c r="AD101" s="319"/>
      <c r="AE101" s="319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</row>
    <row r="102" spans="1:227" s="15" customFormat="1" ht="11.25">
      <c r="A102" s="102" t="s">
        <v>138</v>
      </c>
      <c r="D102" s="15" t="s">
        <v>13</v>
      </c>
      <c r="H102" s="372"/>
      <c r="I102" s="367"/>
      <c r="J102" s="367"/>
      <c r="K102" s="367"/>
      <c r="L102" s="368"/>
      <c r="M102" s="120"/>
      <c r="N102" s="32"/>
      <c r="O102" s="32"/>
      <c r="P102" s="51"/>
      <c r="Q102" s="120"/>
      <c r="R102" s="121"/>
      <c r="S102" s="122"/>
      <c r="T102" s="128"/>
      <c r="U102" s="193"/>
      <c r="V102" s="318"/>
      <c r="W102" s="319"/>
      <c r="X102" s="128"/>
      <c r="Y102" s="193"/>
      <c r="Z102" s="318"/>
      <c r="AA102" s="319"/>
      <c r="AB102" s="128"/>
      <c r="AC102" s="193"/>
      <c r="AD102" s="318"/>
      <c r="AE102" s="319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</row>
    <row r="103" spans="1:227" s="15" customFormat="1" ht="33.75">
      <c r="A103" s="102" t="s">
        <v>139</v>
      </c>
      <c r="D103" s="15" t="s">
        <v>14</v>
      </c>
      <c r="H103" s="372" t="s">
        <v>308</v>
      </c>
      <c r="I103" s="367"/>
      <c r="J103" s="472" t="s">
        <v>629</v>
      </c>
      <c r="K103" s="367"/>
      <c r="L103" s="368"/>
      <c r="M103" s="120"/>
      <c r="N103" s="32"/>
      <c r="O103" s="32"/>
      <c r="P103" s="51"/>
      <c r="Q103" s="120"/>
      <c r="R103" s="121"/>
      <c r="S103" s="122"/>
      <c r="T103" s="128"/>
      <c r="U103" s="193"/>
      <c r="V103" s="318"/>
      <c r="W103" s="319"/>
      <c r="X103" s="128"/>
      <c r="Y103" s="193"/>
      <c r="Z103" s="318"/>
      <c r="AA103" s="319"/>
      <c r="AB103" s="128"/>
      <c r="AC103" s="193"/>
      <c r="AD103" s="318"/>
      <c r="AE103" s="319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</row>
    <row r="104" spans="1:227" s="15" customFormat="1" ht="11.25">
      <c r="A104" s="102"/>
      <c r="C104" s="15" t="s">
        <v>15</v>
      </c>
      <c r="H104" s="372"/>
      <c r="I104" s="367"/>
      <c r="J104" s="182"/>
      <c r="K104" s="367"/>
      <c r="L104" s="368"/>
      <c r="M104" s="120"/>
      <c r="N104" s="32"/>
      <c r="O104" s="32"/>
      <c r="P104" s="51"/>
      <c r="Q104" s="120"/>
      <c r="R104" s="121"/>
      <c r="S104" s="122"/>
      <c r="T104" s="128"/>
      <c r="U104" s="193"/>
      <c r="V104" s="318"/>
      <c r="W104" s="319"/>
      <c r="X104" s="128"/>
      <c r="Y104" s="193"/>
      <c r="Z104" s="318"/>
      <c r="AA104" s="319"/>
      <c r="AB104" s="128"/>
      <c r="AC104" s="193"/>
      <c r="AD104" s="318"/>
      <c r="AE104" s="319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</row>
    <row r="105" spans="1:227" s="15" customFormat="1" ht="11.25">
      <c r="A105" s="102" t="s">
        <v>140</v>
      </c>
      <c r="D105" s="15" t="s">
        <v>11</v>
      </c>
      <c r="H105" s="372"/>
      <c r="I105" s="367"/>
      <c r="J105" s="182"/>
      <c r="K105" s="367"/>
      <c r="L105" s="368"/>
      <c r="M105" s="120"/>
      <c r="N105" s="32"/>
      <c r="O105" s="32"/>
      <c r="P105" s="51"/>
      <c r="Q105" s="120"/>
      <c r="R105" s="121"/>
      <c r="S105" s="122"/>
      <c r="T105" s="128"/>
      <c r="U105" s="193"/>
      <c r="V105" s="318"/>
      <c r="W105" s="319"/>
      <c r="X105" s="128"/>
      <c r="Y105" s="193"/>
      <c r="Z105" s="318"/>
      <c r="AA105" s="319"/>
      <c r="AB105" s="128"/>
      <c r="AC105" s="193"/>
      <c r="AD105" s="318"/>
      <c r="AE105" s="319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</row>
    <row r="106" spans="1:227" s="15" customFormat="1" ht="11.25">
      <c r="A106" s="102" t="s">
        <v>141</v>
      </c>
      <c r="D106" s="15" t="s">
        <v>12</v>
      </c>
      <c r="H106" s="372"/>
      <c r="I106" s="367"/>
      <c r="J106" s="182"/>
      <c r="K106" s="367"/>
      <c r="L106" s="368"/>
      <c r="M106" s="120"/>
      <c r="N106" s="32"/>
      <c r="O106" s="32"/>
      <c r="P106" s="51"/>
      <c r="Q106" s="120"/>
      <c r="R106" s="122"/>
      <c r="S106" s="122"/>
      <c r="T106" s="128"/>
      <c r="U106" s="193"/>
      <c r="V106" s="319"/>
      <c r="W106" s="319"/>
      <c r="X106" s="128"/>
      <c r="Y106" s="193"/>
      <c r="Z106" s="319"/>
      <c r="AA106" s="319"/>
      <c r="AB106" s="128"/>
      <c r="AC106" s="193"/>
      <c r="AD106" s="319"/>
      <c r="AE106" s="319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</row>
    <row r="107" spans="1:227" s="15" customFormat="1" ht="11.25">
      <c r="A107" s="102" t="s">
        <v>142</v>
      </c>
      <c r="D107" s="15" t="s">
        <v>13</v>
      </c>
      <c r="H107" s="372"/>
      <c r="I107" s="367"/>
      <c r="J107" s="182"/>
      <c r="K107" s="367"/>
      <c r="L107" s="368"/>
      <c r="M107" s="120"/>
      <c r="N107" s="32"/>
      <c r="O107" s="32"/>
      <c r="P107" s="51"/>
      <c r="Q107" s="120"/>
      <c r="R107" s="121"/>
      <c r="S107" s="122"/>
      <c r="T107" s="128"/>
      <c r="U107" s="193"/>
      <c r="V107" s="318"/>
      <c r="W107" s="319"/>
      <c r="X107" s="128"/>
      <c r="Y107" s="193"/>
      <c r="Z107" s="318"/>
      <c r="AA107" s="319"/>
      <c r="AB107" s="128"/>
      <c r="AC107" s="193"/>
      <c r="AD107" s="318"/>
      <c r="AE107" s="319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</row>
    <row r="108" spans="1:227" s="15" customFormat="1" ht="11.25">
      <c r="A108" s="102" t="s">
        <v>143</v>
      </c>
      <c r="D108" s="15" t="s">
        <v>14</v>
      </c>
      <c r="H108" s="367"/>
      <c r="I108" s="367"/>
      <c r="J108" s="182"/>
      <c r="K108" s="367"/>
      <c r="L108" s="368"/>
      <c r="M108" s="120"/>
      <c r="N108" s="32"/>
      <c r="O108" s="32"/>
      <c r="P108" s="51"/>
      <c r="Q108" s="120"/>
      <c r="R108" s="121"/>
      <c r="S108" s="122"/>
      <c r="T108" s="128"/>
      <c r="U108" s="193"/>
      <c r="V108" s="318"/>
      <c r="W108" s="319"/>
      <c r="X108" s="128"/>
      <c r="Y108" s="193"/>
      <c r="Z108" s="318"/>
      <c r="AA108" s="319"/>
      <c r="AB108" s="128"/>
      <c r="AC108" s="193"/>
      <c r="AD108" s="318"/>
      <c r="AE108" s="319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</row>
    <row r="109" spans="1:227" s="15" customFormat="1" ht="11.25">
      <c r="A109" s="102"/>
      <c r="C109" s="15" t="s">
        <v>16</v>
      </c>
      <c r="H109" s="367"/>
      <c r="I109" s="367"/>
      <c r="J109" s="182"/>
      <c r="K109" s="367"/>
      <c r="L109" s="368"/>
      <c r="M109" s="120"/>
      <c r="N109" s="348"/>
      <c r="O109" s="32"/>
      <c r="P109" s="51"/>
      <c r="Q109" s="120"/>
      <c r="R109" s="32"/>
      <c r="S109" s="32"/>
      <c r="T109" s="128"/>
      <c r="U109" s="193"/>
      <c r="V109" s="45"/>
      <c r="W109" s="45"/>
      <c r="X109" s="128"/>
      <c r="Y109" s="193"/>
      <c r="Z109" s="45"/>
      <c r="AA109" s="45"/>
      <c r="AB109" s="128"/>
      <c r="AC109" s="193"/>
      <c r="AD109" s="45"/>
      <c r="AE109" s="45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</row>
    <row r="110" spans="1:227" s="15" customFormat="1" ht="11.25">
      <c r="A110" s="102"/>
      <c r="C110" s="15" t="s">
        <v>10</v>
      </c>
      <c r="H110" s="367"/>
      <c r="I110" s="367"/>
      <c r="J110" s="182"/>
      <c r="K110" s="367"/>
      <c r="L110" s="368"/>
      <c r="M110" s="120"/>
      <c r="N110" s="32"/>
      <c r="O110" s="32"/>
      <c r="P110" s="51"/>
      <c r="Q110" s="120"/>
      <c r="R110" s="121"/>
      <c r="S110" s="122"/>
      <c r="T110" s="128"/>
      <c r="U110" s="193"/>
      <c r="V110" s="318"/>
      <c r="W110" s="319"/>
      <c r="X110" s="128"/>
      <c r="Y110" s="193"/>
      <c r="Z110" s="318"/>
      <c r="AA110" s="319"/>
      <c r="AB110" s="128"/>
      <c r="AC110" s="193"/>
      <c r="AD110" s="318"/>
      <c r="AE110" s="319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</row>
    <row r="111" spans="1:227" s="15" customFormat="1" ht="11.25">
      <c r="A111" s="102" t="s">
        <v>144</v>
      </c>
      <c r="D111" s="15" t="s">
        <v>17</v>
      </c>
      <c r="H111" s="367"/>
      <c r="I111" s="367"/>
      <c r="J111" s="182"/>
      <c r="K111" s="367"/>
      <c r="L111" s="368"/>
      <c r="M111" s="120"/>
      <c r="N111" s="32"/>
      <c r="O111" s="32"/>
      <c r="P111" s="51"/>
      <c r="Q111" s="120"/>
      <c r="R111" s="122"/>
      <c r="S111" s="122"/>
      <c r="T111" s="128"/>
      <c r="U111" s="193"/>
      <c r="V111" s="319"/>
      <c r="W111" s="319"/>
      <c r="X111" s="128"/>
      <c r="Y111" s="193"/>
      <c r="Z111" s="319"/>
      <c r="AA111" s="319"/>
      <c r="AB111" s="128"/>
      <c r="AC111" s="193"/>
      <c r="AD111" s="319"/>
      <c r="AE111" s="319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</row>
    <row r="112" spans="1:227" s="15" customFormat="1" ht="22.5">
      <c r="A112" s="102" t="s">
        <v>190</v>
      </c>
      <c r="D112" s="15" t="s">
        <v>18</v>
      </c>
      <c r="H112" s="372" t="s">
        <v>309</v>
      </c>
      <c r="I112" s="367"/>
      <c r="J112" s="472" t="s">
        <v>630</v>
      </c>
      <c r="K112" s="367"/>
      <c r="L112" s="368"/>
      <c r="M112" s="120"/>
      <c r="N112" s="32"/>
      <c r="O112" s="32"/>
      <c r="P112" s="51"/>
      <c r="Q112" s="120"/>
      <c r="R112" s="32"/>
      <c r="S112" s="122"/>
      <c r="T112" s="128"/>
      <c r="U112" s="193"/>
      <c r="V112" s="45"/>
      <c r="W112" s="319"/>
      <c r="X112" s="128"/>
      <c r="Y112" s="193"/>
      <c r="Z112" s="45"/>
      <c r="AA112" s="319"/>
      <c r="AB112" s="128"/>
      <c r="AC112" s="193"/>
      <c r="AD112" s="45"/>
      <c r="AE112" s="319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</row>
    <row r="113" spans="1:227" s="15" customFormat="1" ht="11.25">
      <c r="A113" s="102"/>
      <c r="C113" s="15" t="s">
        <v>15</v>
      </c>
      <c r="H113" s="367"/>
      <c r="I113" s="367"/>
      <c r="J113" s="182"/>
      <c r="K113" s="367"/>
      <c r="L113" s="368"/>
      <c r="M113" s="120"/>
      <c r="N113" s="32"/>
      <c r="O113" s="32"/>
      <c r="P113" s="51"/>
      <c r="Q113" s="120"/>
      <c r="R113" s="122"/>
      <c r="S113" s="122"/>
      <c r="T113" s="128"/>
      <c r="U113" s="193"/>
      <c r="V113" s="319"/>
      <c r="W113" s="319"/>
      <c r="X113" s="128"/>
      <c r="Y113" s="193"/>
      <c r="Z113" s="319"/>
      <c r="AA113" s="319"/>
      <c r="AB113" s="128"/>
      <c r="AC113" s="193"/>
      <c r="AD113" s="319"/>
      <c r="AE113" s="319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</row>
    <row r="114" spans="1:227" s="15" customFormat="1" ht="11.25">
      <c r="A114" s="102" t="s">
        <v>401</v>
      </c>
      <c r="D114" s="15" t="s">
        <v>17</v>
      </c>
      <c r="H114" s="367"/>
      <c r="I114" s="367"/>
      <c r="J114" s="182"/>
      <c r="K114" s="367"/>
      <c r="L114" s="368"/>
      <c r="M114" s="120"/>
      <c r="N114" s="32"/>
      <c r="O114" s="32"/>
      <c r="P114" s="51"/>
      <c r="Q114" s="120"/>
      <c r="R114" s="122"/>
      <c r="S114" s="122"/>
      <c r="T114" s="128"/>
      <c r="U114" s="193"/>
      <c r="V114" s="319"/>
      <c r="W114" s="319"/>
      <c r="X114" s="128"/>
      <c r="Y114" s="193"/>
      <c r="Z114" s="319"/>
      <c r="AA114" s="319"/>
      <c r="AB114" s="128"/>
      <c r="AC114" s="193"/>
      <c r="AD114" s="319"/>
      <c r="AE114" s="319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</row>
    <row r="115" spans="1:227" s="15" customFormat="1" ht="11.25">
      <c r="A115" s="102" t="s">
        <v>402</v>
      </c>
      <c r="D115" s="15" t="s">
        <v>19</v>
      </c>
      <c r="H115" s="367"/>
      <c r="I115" s="367"/>
      <c r="J115" s="182"/>
      <c r="K115" s="367"/>
      <c r="L115" s="368"/>
      <c r="M115" s="120"/>
      <c r="N115" s="348"/>
      <c r="O115" s="32"/>
      <c r="P115" s="51"/>
      <c r="Q115" s="120"/>
      <c r="R115" s="122"/>
      <c r="S115" s="122"/>
      <c r="T115" s="128"/>
      <c r="U115" s="193"/>
      <c r="V115" s="319"/>
      <c r="W115" s="319"/>
      <c r="X115" s="128"/>
      <c r="Y115" s="193"/>
      <c r="Z115" s="319"/>
      <c r="AA115" s="319"/>
      <c r="AB115" s="128"/>
      <c r="AC115" s="193"/>
      <c r="AD115" s="319"/>
      <c r="AE115" s="319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</row>
    <row r="116" spans="1:227" s="15" customFormat="1" ht="11.25">
      <c r="A116" s="102"/>
      <c r="C116" s="15" t="s">
        <v>20</v>
      </c>
      <c r="H116" s="367"/>
      <c r="I116" s="367"/>
      <c r="J116" s="182"/>
      <c r="K116" s="367"/>
      <c r="L116" s="368"/>
      <c r="M116" s="120"/>
      <c r="N116" s="348"/>
      <c r="O116" s="32"/>
      <c r="P116" s="51"/>
      <c r="Q116" s="120"/>
      <c r="R116" s="32"/>
      <c r="S116" s="32"/>
      <c r="T116" s="128"/>
      <c r="U116" s="193"/>
      <c r="V116" s="45"/>
      <c r="W116" s="45"/>
      <c r="X116" s="128"/>
      <c r="Y116" s="193"/>
      <c r="Z116" s="45"/>
      <c r="AA116" s="45"/>
      <c r="AB116" s="128"/>
      <c r="AC116" s="193"/>
      <c r="AD116" s="45"/>
      <c r="AE116" s="45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</row>
    <row r="117" spans="1:227" s="15" customFormat="1" ht="11.25">
      <c r="A117" s="102"/>
      <c r="B117" s="15" t="s">
        <v>302</v>
      </c>
      <c r="H117" s="367"/>
      <c r="I117" s="367"/>
      <c r="J117" s="182"/>
      <c r="K117" s="367"/>
      <c r="L117" s="368"/>
      <c r="M117" s="120"/>
      <c r="N117" s="348"/>
      <c r="O117" s="32"/>
      <c r="P117" s="51"/>
      <c r="Q117" s="120"/>
      <c r="R117" s="32"/>
      <c r="S117" s="32"/>
      <c r="T117" s="128"/>
      <c r="U117" s="193"/>
      <c r="V117" s="45"/>
      <c r="W117" s="45"/>
      <c r="X117" s="128"/>
      <c r="Y117" s="193"/>
      <c r="Z117" s="45"/>
      <c r="AA117" s="45"/>
      <c r="AB117" s="128"/>
      <c r="AC117" s="193"/>
      <c r="AD117" s="45"/>
      <c r="AE117" s="45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</row>
    <row r="118" spans="1:227" s="15" customFormat="1" ht="11.25">
      <c r="A118" s="366"/>
      <c r="B118" s="98"/>
      <c r="C118" s="51"/>
      <c r="D118" s="51"/>
      <c r="E118" s="51"/>
      <c r="F118" s="51"/>
      <c r="G118" s="51"/>
      <c r="H118" s="367"/>
      <c r="I118" s="367"/>
      <c r="J118" s="182"/>
      <c r="K118" s="367"/>
      <c r="L118" s="368"/>
      <c r="M118" s="120"/>
      <c r="N118" s="32"/>
      <c r="O118" s="32"/>
      <c r="P118" s="128"/>
      <c r="Q118" s="193"/>
      <c r="R118" s="45"/>
      <c r="S118" s="45"/>
      <c r="T118" s="128"/>
      <c r="U118" s="193"/>
      <c r="V118" s="45"/>
      <c r="W118" s="45"/>
      <c r="X118" s="128"/>
      <c r="Y118" s="193"/>
      <c r="Z118" s="45"/>
      <c r="AA118" s="45"/>
      <c r="AB118" s="128"/>
      <c r="AC118" s="193"/>
      <c r="AD118" s="45"/>
      <c r="AE118" s="45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</row>
    <row r="119" spans="1:99" s="15" customFormat="1" ht="11.25">
      <c r="A119" s="366" t="s">
        <v>145</v>
      </c>
      <c r="B119" s="98" t="s">
        <v>316</v>
      </c>
      <c r="C119" s="98"/>
      <c r="H119" s="367" t="s">
        <v>318</v>
      </c>
      <c r="I119" s="367"/>
      <c r="J119" s="182"/>
      <c r="K119" s="367"/>
      <c r="L119" s="368"/>
      <c r="M119" s="120"/>
      <c r="N119" s="32"/>
      <c r="O119" s="32"/>
      <c r="P119" s="51"/>
      <c r="Q119" s="51"/>
      <c r="R119" s="32"/>
      <c r="S119" s="122"/>
      <c r="T119" s="128"/>
      <c r="U119" s="128"/>
      <c r="V119" s="45"/>
      <c r="W119" s="319"/>
      <c r="X119" s="128"/>
      <c r="Y119" s="128"/>
      <c r="Z119" s="45"/>
      <c r="AA119" s="319"/>
      <c r="AB119" s="128"/>
      <c r="AC119" s="128"/>
      <c r="AD119" s="45"/>
      <c r="AE119" s="319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</row>
    <row r="120" spans="1:99" s="15" customFormat="1" ht="11.25">
      <c r="A120" s="366"/>
      <c r="C120" s="15" t="s">
        <v>31</v>
      </c>
      <c r="H120" s="368"/>
      <c r="I120" s="368"/>
      <c r="J120" s="140"/>
      <c r="K120" s="368"/>
      <c r="L120" s="368"/>
      <c r="M120" s="120"/>
      <c r="N120" s="32"/>
      <c r="O120" s="32"/>
      <c r="P120" s="51"/>
      <c r="Q120" s="51"/>
      <c r="R120" s="32"/>
      <c r="S120" s="122"/>
      <c r="T120" s="128"/>
      <c r="U120" s="128"/>
      <c r="V120" s="45"/>
      <c r="W120" s="319"/>
      <c r="X120" s="128"/>
      <c r="Y120" s="128"/>
      <c r="Z120" s="45"/>
      <c r="AA120" s="319"/>
      <c r="AB120" s="128"/>
      <c r="AC120" s="128"/>
      <c r="AD120" s="45"/>
      <c r="AE120" s="319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</row>
    <row r="121" spans="1:99" s="15" customFormat="1" ht="11.25">
      <c r="A121" s="366" t="s">
        <v>146</v>
      </c>
      <c r="D121" s="15" t="s">
        <v>177</v>
      </c>
      <c r="H121" s="367"/>
      <c r="I121" s="367"/>
      <c r="J121" s="182"/>
      <c r="K121" s="367"/>
      <c r="L121" s="368"/>
      <c r="M121" s="120"/>
      <c r="N121" s="32"/>
      <c r="O121" s="32"/>
      <c r="P121" s="51"/>
      <c r="Q121" s="51"/>
      <c r="R121" s="348"/>
      <c r="S121" s="122"/>
      <c r="T121" s="128"/>
      <c r="U121" s="128"/>
      <c r="V121" s="349"/>
      <c r="W121" s="319"/>
      <c r="X121" s="128"/>
      <c r="Y121" s="128"/>
      <c r="Z121" s="349"/>
      <c r="AA121" s="319"/>
      <c r="AB121" s="128"/>
      <c r="AC121" s="128"/>
      <c r="AD121" s="349"/>
      <c r="AE121" s="319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</row>
    <row r="122" spans="1:99" s="15" customFormat="1" ht="11.25">
      <c r="A122" s="85" t="s">
        <v>147</v>
      </c>
      <c r="D122" s="15" t="s">
        <v>178</v>
      </c>
      <c r="H122" s="367"/>
      <c r="I122" s="367"/>
      <c r="J122" s="182"/>
      <c r="K122" s="367"/>
      <c r="L122" s="368"/>
      <c r="M122" s="120"/>
      <c r="N122" s="32"/>
      <c r="O122" s="32"/>
      <c r="P122" s="51"/>
      <c r="Q122" s="51"/>
      <c r="R122" s="348"/>
      <c r="S122" s="122"/>
      <c r="T122" s="128"/>
      <c r="U122" s="128"/>
      <c r="V122" s="349"/>
      <c r="W122" s="319"/>
      <c r="X122" s="128"/>
      <c r="Y122" s="128"/>
      <c r="Z122" s="349"/>
      <c r="AA122" s="319"/>
      <c r="AB122" s="128"/>
      <c r="AC122" s="128"/>
      <c r="AD122" s="349"/>
      <c r="AE122" s="319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</row>
    <row r="123" spans="1:99" s="15" customFormat="1" ht="11.25">
      <c r="A123" s="85" t="s">
        <v>148</v>
      </c>
      <c r="C123" s="15" t="s">
        <v>300</v>
      </c>
      <c r="H123" s="367" t="s">
        <v>319</v>
      </c>
      <c r="I123" s="367"/>
      <c r="J123" s="182"/>
      <c r="K123" s="367"/>
      <c r="L123" s="368"/>
      <c r="M123" s="120"/>
      <c r="N123" s="32"/>
      <c r="O123" s="32"/>
      <c r="P123" s="51"/>
      <c r="Q123" s="51"/>
      <c r="R123" s="348"/>
      <c r="S123" s="122"/>
      <c r="T123" s="128"/>
      <c r="U123" s="128"/>
      <c r="V123" s="349"/>
      <c r="W123" s="319"/>
      <c r="X123" s="128"/>
      <c r="Y123" s="128"/>
      <c r="Z123" s="349"/>
      <c r="AA123" s="319"/>
      <c r="AB123" s="128"/>
      <c r="AC123" s="128"/>
      <c r="AD123" s="349"/>
      <c r="AE123" s="319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</row>
    <row r="124" spans="1:99" s="15" customFormat="1" ht="11.25">
      <c r="A124" s="85"/>
      <c r="C124" s="15" t="s">
        <v>10</v>
      </c>
      <c r="H124" s="147" t="s">
        <v>247</v>
      </c>
      <c r="I124" s="367"/>
      <c r="J124" s="182"/>
      <c r="K124" s="367"/>
      <c r="L124" s="368"/>
      <c r="M124" s="120"/>
      <c r="N124" s="32"/>
      <c r="O124" s="32"/>
      <c r="P124" s="51"/>
      <c r="Q124" s="51"/>
      <c r="R124" s="121"/>
      <c r="S124" s="122"/>
      <c r="T124" s="128"/>
      <c r="U124" s="128"/>
      <c r="V124" s="318"/>
      <c r="W124" s="319"/>
      <c r="X124" s="128"/>
      <c r="Y124" s="128"/>
      <c r="Z124" s="318"/>
      <c r="AA124" s="319"/>
      <c r="AB124" s="128"/>
      <c r="AC124" s="128"/>
      <c r="AD124" s="318"/>
      <c r="AE124" s="319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</row>
    <row r="125" spans="1:99" s="15" customFormat="1" ht="22.5">
      <c r="A125" s="85" t="s">
        <v>149</v>
      </c>
      <c r="D125" s="15" t="s">
        <v>11</v>
      </c>
      <c r="H125" s="372" t="s">
        <v>320</v>
      </c>
      <c r="I125" s="367"/>
      <c r="J125" s="182"/>
      <c r="K125" s="367"/>
      <c r="L125" s="368"/>
      <c r="M125" s="120"/>
      <c r="N125" s="32"/>
      <c r="O125" s="32"/>
      <c r="P125" s="51"/>
      <c r="Q125" s="120"/>
      <c r="R125" s="32"/>
      <c r="S125" s="122"/>
      <c r="T125" s="128"/>
      <c r="U125" s="193"/>
      <c r="V125" s="45"/>
      <c r="W125" s="319"/>
      <c r="X125" s="128"/>
      <c r="Y125" s="193"/>
      <c r="Z125" s="45"/>
      <c r="AA125" s="319"/>
      <c r="AB125" s="128"/>
      <c r="AC125" s="193"/>
      <c r="AD125" s="45"/>
      <c r="AE125" s="319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</row>
    <row r="126" spans="1:99" s="15" customFormat="1" ht="11.25">
      <c r="A126" s="85" t="s">
        <v>150</v>
      </c>
      <c r="D126" s="15" t="s">
        <v>12</v>
      </c>
      <c r="H126" s="367"/>
      <c r="I126" s="367"/>
      <c r="J126" s="182"/>
      <c r="K126" s="367"/>
      <c r="L126" s="368"/>
      <c r="M126" s="120"/>
      <c r="N126" s="32"/>
      <c r="O126" s="32"/>
      <c r="P126" s="51"/>
      <c r="Q126" s="120"/>
      <c r="R126" s="122"/>
      <c r="S126" s="122"/>
      <c r="T126" s="128"/>
      <c r="U126" s="350"/>
      <c r="V126" s="319"/>
      <c r="W126" s="319"/>
      <c r="X126" s="128"/>
      <c r="Y126" s="350"/>
      <c r="Z126" s="319"/>
      <c r="AA126" s="319"/>
      <c r="AB126" s="128"/>
      <c r="AC126" s="350"/>
      <c r="AD126" s="319"/>
      <c r="AE126" s="319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</row>
    <row r="127" spans="1:99" s="15" customFormat="1" ht="11.25">
      <c r="A127" s="85" t="s">
        <v>151</v>
      </c>
      <c r="D127" s="15" t="s">
        <v>13</v>
      </c>
      <c r="H127" s="367"/>
      <c r="I127" s="367"/>
      <c r="J127" s="182"/>
      <c r="K127" s="367"/>
      <c r="L127" s="368"/>
      <c r="M127" s="120"/>
      <c r="N127" s="32"/>
      <c r="O127" s="32"/>
      <c r="P127" s="51"/>
      <c r="Q127" s="120"/>
      <c r="R127" s="121"/>
      <c r="S127" s="122"/>
      <c r="T127" s="128"/>
      <c r="U127" s="193"/>
      <c r="V127" s="318"/>
      <c r="W127" s="319"/>
      <c r="X127" s="128"/>
      <c r="Y127" s="193"/>
      <c r="Z127" s="318"/>
      <c r="AA127" s="319"/>
      <c r="AB127" s="128"/>
      <c r="AC127" s="193"/>
      <c r="AD127" s="318"/>
      <c r="AE127" s="319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</row>
    <row r="128" spans="1:99" s="15" customFormat="1" ht="33.75">
      <c r="A128" s="85" t="s">
        <v>152</v>
      </c>
      <c r="D128" s="15" t="s">
        <v>14</v>
      </c>
      <c r="H128" s="367" t="s">
        <v>321</v>
      </c>
      <c r="I128" s="367"/>
      <c r="J128" s="472" t="s">
        <v>629</v>
      </c>
      <c r="K128" s="367"/>
      <c r="L128" s="368"/>
      <c r="M128" s="120"/>
      <c r="N128" s="32"/>
      <c r="O128" s="32"/>
      <c r="P128" s="51"/>
      <c r="Q128" s="120"/>
      <c r="R128" s="121"/>
      <c r="S128" s="122"/>
      <c r="T128" s="128"/>
      <c r="U128" s="193"/>
      <c r="V128" s="318"/>
      <c r="W128" s="319"/>
      <c r="X128" s="128"/>
      <c r="Y128" s="193"/>
      <c r="Z128" s="318"/>
      <c r="AA128" s="319"/>
      <c r="AB128" s="128"/>
      <c r="AC128" s="193"/>
      <c r="AD128" s="318"/>
      <c r="AE128" s="319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</row>
    <row r="129" spans="1:99" s="15" customFormat="1" ht="11.25">
      <c r="A129" s="85"/>
      <c r="C129" s="15" t="s">
        <v>15</v>
      </c>
      <c r="H129" s="367"/>
      <c r="I129" s="367"/>
      <c r="J129" s="367"/>
      <c r="K129" s="367"/>
      <c r="L129" s="368"/>
      <c r="M129" s="120"/>
      <c r="N129" s="32"/>
      <c r="O129" s="32"/>
      <c r="P129" s="51"/>
      <c r="Q129" s="120"/>
      <c r="R129" s="121"/>
      <c r="S129" s="122"/>
      <c r="T129" s="128"/>
      <c r="U129" s="193"/>
      <c r="V129" s="318"/>
      <c r="W129" s="319"/>
      <c r="X129" s="128"/>
      <c r="Y129" s="193"/>
      <c r="Z129" s="318"/>
      <c r="AA129" s="319"/>
      <c r="AB129" s="128"/>
      <c r="AC129" s="193"/>
      <c r="AD129" s="318"/>
      <c r="AE129" s="319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</row>
    <row r="130" spans="1:99" s="15" customFormat="1" ht="11.25">
      <c r="A130" s="85" t="s">
        <v>153</v>
      </c>
      <c r="D130" s="15" t="s">
        <v>11</v>
      </c>
      <c r="H130" s="367"/>
      <c r="I130" s="367"/>
      <c r="J130" s="367"/>
      <c r="K130" s="367"/>
      <c r="L130" s="368"/>
      <c r="M130" s="120"/>
      <c r="N130" s="32"/>
      <c r="O130" s="32"/>
      <c r="P130" s="51"/>
      <c r="Q130" s="120"/>
      <c r="R130" s="121"/>
      <c r="S130" s="122"/>
      <c r="T130" s="128"/>
      <c r="U130" s="193"/>
      <c r="V130" s="318"/>
      <c r="W130" s="319"/>
      <c r="X130" s="128"/>
      <c r="Y130" s="193"/>
      <c r="Z130" s="318"/>
      <c r="AA130" s="319"/>
      <c r="AB130" s="128"/>
      <c r="AC130" s="193"/>
      <c r="AD130" s="318"/>
      <c r="AE130" s="319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</row>
    <row r="131" spans="1:99" s="15" customFormat="1" ht="11.25">
      <c r="A131" s="85" t="s">
        <v>154</v>
      </c>
      <c r="D131" s="15" t="s">
        <v>12</v>
      </c>
      <c r="H131" s="367"/>
      <c r="I131" s="367"/>
      <c r="J131" s="367"/>
      <c r="K131" s="367"/>
      <c r="L131" s="368"/>
      <c r="M131" s="120"/>
      <c r="N131" s="32"/>
      <c r="O131" s="32"/>
      <c r="P131" s="51"/>
      <c r="Q131" s="120"/>
      <c r="R131" s="122"/>
      <c r="S131" s="122"/>
      <c r="T131" s="128"/>
      <c r="U131" s="193"/>
      <c r="V131" s="319"/>
      <c r="W131" s="319"/>
      <c r="X131" s="128"/>
      <c r="Y131" s="193"/>
      <c r="Z131" s="319"/>
      <c r="AA131" s="319"/>
      <c r="AB131" s="128"/>
      <c r="AC131" s="193"/>
      <c r="AD131" s="319"/>
      <c r="AE131" s="319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</row>
    <row r="132" spans="1:99" s="15" customFormat="1" ht="11.25">
      <c r="A132" s="85" t="s">
        <v>155</v>
      </c>
      <c r="D132" s="15" t="s">
        <v>13</v>
      </c>
      <c r="H132" s="367"/>
      <c r="I132" s="367"/>
      <c r="J132" s="367"/>
      <c r="K132" s="367"/>
      <c r="L132" s="368"/>
      <c r="M132" s="120"/>
      <c r="N132" s="32"/>
      <c r="O132" s="32"/>
      <c r="P132" s="51"/>
      <c r="Q132" s="120"/>
      <c r="R132" s="121"/>
      <c r="S132" s="122"/>
      <c r="T132" s="128"/>
      <c r="U132" s="193"/>
      <c r="V132" s="318"/>
      <c r="W132" s="319"/>
      <c r="X132" s="128"/>
      <c r="Y132" s="193"/>
      <c r="Z132" s="318"/>
      <c r="AA132" s="319"/>
      <c r="AB132" s="128"/>
      <c r="AC132" s="193"/>
      <c r="AD132" s="318"/>
      <c r="AE132" s="319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</row>
    <row r="133" spans="1:99" s="15" customFormat="1" ht="11.25">
      <c r="A133" s="85" t="s">
        <v>156</v>
      </c>
      <c r="D133" s="15" t="s">
        <v>14</v>
      </c>
      <c r="H133" s="367"/>
      <c r="I133" s="367"/>
      <c r="J133" s="367"/>
      <c r="K133" s="367"/>
      <c r="L133" s="368"/>
      <c r="M133" s="120"/>
      <c r="N133" s="32"/>
      <c r="O133" s="32"/>
      <c r="P133" s="51"/>
      <c r="Q133" s="120"/>
      <c r="R133" s="121"/>
      <c r="S133" s="122"/>
      <c r="T133" s="128"/>
      <c r="U133" s="193"/>
      <c r="V133" s="318"/>
      <c r="W133" s="319"/>
      <c r="X133" s="128"/>
      <c r="Y133" s="193"/>
      <c r="Z133" s="318"/>
      <c r="AA133" s="319"/>
      <c r="AB133" s="128"/>
      <c r="AC133" s="193"/>
      <c r="AD133" s="318"/>
      <c r="AE133" s="319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</row>
    <row r="134" spans="1:99" s="15" customFormat="1" ht="11.25">
      <c r="A134" s="85"/>
      <c r="C134" s="15" t="s">
        <v>16</v>
      </c>
      <c r="H134" s="367"/>
      <c r="I134" s="367"/>
      <c r="J134" s="367"/>
      <c r="K134" s="367"/>
      <c r="L134" s="368"/>
      <c r="M134" s="120"/>
      <c r="N134" s="32"/>
      <c r="O134" s="32"/>
      <c r="P134" s="51"/>
      <c r="Q134" s="120"/>
      <c r="R134" s="32"/>
      <c r="S134" s="32"/>
      <c r="T134" s="128"/>
      <c r="U134" s="193"/>
      <c r="V134" s="45"/>
      <c r="W134" s="45"/>
      <c r="X134" s="128"/>
      <c r="Y134" s="193"/>
      <c r="Z134" s="45"/>
      <c r="AA134" s="45"/>
      <c r="AB134" s="128"/>
      <c r="AC134" s="193"/>
      <c r="AD134" s="45"/>
      <c r="AE134" s="45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</row>
    <row r="135" spans="1:99" s="15" customFormat="1" ht="11.25">
      <c r="A135" s="85"/>
      <c r="C135" s="15" t="s">
        <v>10</v>
      </c>
      <c r="H135" s="367"/>
      <c r="I135" s="367"/>
      <c r="J135" s="367"/>
      <c r="K135" s="367"/>
      <c r="L135" s="368"/>
      <c r="M135" s="120"/>
      <c r="N135" s="32"/>
      <c r="O135" s="32"/>
      <c r="P135" s="51"/>
      <c r="Q135" s="120"/>
      <c r="R135" s="121"/>
      <c r="S135" s="122"/>
      <c r="T135" s="128"/>
      <c r="U135" s="193"/>
      <c r="V135" s="318"/>
      <c r="W135" s="319"/>
      <c r="X135" s="128"/>
      <c r="Y135" s="193"/>
      <c r="Z135" s="318"/>
      <c r="AA135" s="319"/>
      <c r="AB135" s="128"/>
      <c r="AC135" s="193"/>
      <c r="AD135" s="318"/>
      <c r="AE135" s="319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</row>
    <row r="136" spans="1:99" s="15" customFormat="1" ht="22.5">
      <c r="A136" s="85" t="s">
        <v>157</v>
      </c>
      <c r="D136" s="15" t="s">
        <v>17</v>
      </c>
      <c r="H136" s="367" t="s">
        <v>322</v>
      </c>
      <c r="I136" s="367"/>
      <c r="J136" s="472" t="s">
        <v>630</v>
      </c>
      <c r="K136" s="367"/>
      <c r="L136" s="368"/>
      <c r="M136" s="120"/>
      <c r="N136" s="32"/>
      <c r="O136" s="32"/>
      <c r="P136" s="51"/>
      <c r="Q136" s="120"/>
      <c r="R136" s="122"/>
      <c r="S136" s="122"/>
      <c r="T136" s="128"/>
      <c r="U136" s="193"/>
      <c r="V136" s="319"/>
      <c r="W136" s="319"/>
      <c r="X136" s="128"/>
      <c r="Y136" s="193"/>
      <c r="Z136" s="319"/>
      <c r="AA136" s="319"/>
      <c r="AB136" s="128"/>
      <c r="AC136" s="193"/>
      <c r="AD136" s="319"/>
      <c r="AE136" s="319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</row>
    <row r="137" spans="1:99" s="15" customFormat="1" ht="11.25">
      <c r="A137" s="85" t="s">
        <v>191</v>
      </c>
      <c r="D137" s="15" t="s">
        <v>18</v>
      </c>
      <c r="H137" s="367"/>
      <c r="I137" s="367"/>
      <c r="J137" s="182"/>
      <c r="K137" s="367"/>
      <c r="L137" s="368"/>
      <c r="M137" s="120"/>
      <c r="N137" s="32"/>
      <c r="O137" s="32"/>
      <c r="P137" s="51"/>
      <c r="Q137" s="120"/>
      <c r="R137" s="32"/>
      <c r="S137" s="122"/>
      <c r="T137" s="128"/>
      <c r="U137" s="193"/>
      <c r="V137" s="45"/>
      <c r="W137" s="319"/>
      <c r="X137" s="128"/>
      <c r="Y137" s="193"/>
      <c r="Z137" s="45"/>
      <c r="AA137" s="319"/>
      <c r="AB137" s="128"/>
      <c r="AC137" s="193"/>
      <c r="AD137" s="45"/>
      <c r="AE137" s="319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</row>
    <row r="138" spans="1:99" s="15" customFormat="1" ht="11.25">
      <c r="A138" s="85"/>
      <c r="C138" s="15" t="s">
        <v>15</v>
      </c>
      <c r="H138" s="367"/>
      <c r="I138" s="367"/>
      <c r="J138" s="182"/>
      <c r="K138" s="367"/>
      <c r="L138" s="368"/>
      <c r="M138" s="120"/>
      <c r="N138" s="32"/>
      <c r="O138" s="32"/>
      <c r="P138" s="51"/>
      <c r="Q138" s="120"/>
      <c r="R138" s="122"/>
      <c r="S138" s="122"/>
      <c r="T138" s="128"/>
      <c r="U138" s="193"/>
      <c r="V138" s="319"/>
      <c r="W138" s="319"/>
      <c r="X138" s="128"/>
      <c r="Y138" s="193"/>
      <c r="Z138" s="319"/>
      <c r="AA138" s="319"/>
      <c r="AB138" s="128"/>
      <c r="AC138" s="193"/>
      <c r="AD138" s="319"/>
      <c r="AE138" s="319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</row>
    <row r="139" spans="1:99" s="15" customFormat="1" ht="11.25">
      <c r="A139" s="85" t="s">
        <v>403</v>
      </c>
      <c r="D139" s="15" t="s">
        <v>17</v>
      </c>
      <c r="H139" s="367"/>
      <c r="I139" s="367"/>
      <c r="J139" s="182"/>
      <c r="K139" s="367"/>
      <c r="L139" s="368"/>
      <c r="M139" s="120"/>
      <c r="N139" s="32"/>
      <c r="O139" s="32"/>
      <c r="P139" s="51"/>
      <c r="Q139" s="120"/>
      <c r="R139" s="122"/>
      <c r="S139" s="122"/>
      <c r="T139" s="128"/>
      <c r="U139" s="193"/>
      <c r="V139" s="319"/>
      <c r="W139" s="319"/>
      <c r="X139" s="128"/>
      <c r="Y139" s="193"/>
      <c r="Z139" s="319"/>
      <c r="AA139" s="319"/>
      <c r="AB139" s="128"/>
      <c r="AC139" s="193"/>
      <c r="AD139" s="319"/>
      <c r="AE139" s="319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</row>
    <row r="140" spans="1:99" s="15" customFormat="1" ht="11.25">
      <c r="A140" s="85" t="s">
        <v>404</v>
      </c>
      <c r="D140" s="15" t="s">
        <v>19</v>
      </c>
      <c r="H140" s="367"/>
      <c r="I140" s="367"/>
      <c r="J140" s="182"/>
      <c r="K140" s="367"/>
      <c r="L140" s="368"/>
      <c r="M140" s="120"/>
      <c r="N140" s="348"/>
      <c r="O140" s="32"/>
      <c r="P140" s="51"/>
      <c r="Q140" s="120"/>
      <c r="R140" s="122"/>
      <c r="S140" s="122"/>
      <c r="T140" s="128"/>
      <c r="U140" s="193"/>
      <c r="V140" s="319"/>
      <c r="W140" s="319"/>
      <c r="X140" s="128"/>
      <c r="Y140" s="193"/>
      <c r="Z140" s="319"/>
      <c r="AA140" s="319"/>
      <c r="AB140" s="128"/>
      <c r="AC140" s="193"/>
      <c r="AD140" s="319"/>
      <c r="AE140" s="319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</row>
    <row r="141" spans="1:99" s="15" customFormat="1" ht="11.25">
      <c r="A141" s="85"/>
      <c r="C141" s="15" t="s">
        <v>20</v>
      </c>
      <c r="H141" s="367"/>
      <c r="I141" s="367"/>
      <c r="J141" s="182"/>
      <c r="K141" s="367"/>
      <c r="L141" s="368"/>
      <c r="M141" s="120"/>
      <c r="N141" s="32"/>
      <c r="O141" s="32"/>
      <c r="P141" s="51"/>
      <c r="Q141" s="120"/>
      <c r="R141" s="32"/>
      <c r="S141" s="32"/>
      <c r="T141" s="128"/>
      <c r="U141" s="193"/>
      <c r="V141" s="45"/>
      <c r="W141" s="45"/>
      <c r="X141" s="128"/>
      <c r="Y141" s="193"/>
      <c r="Z141" s="45"/>
      <c r="AA141" s="45"/>
      <c r="AB141" s="128"/>
      <c r="AC141" s="193"/>
      <c r="AD141" s="45"/>
      <c r="AE141" s="45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</row>
    <row r="142" spans="1:99" s="15" customFormat="1" ht="11.25">
      <c r="A142" s="85"/>
      <c r="B142" s="15" t="s">
        <v>317</v>
      </c>
      <c r="H142" s="367"/>
      <c r="I142" s="367"/>
      <c r="J142" s="182"/>
      <c r="K142" s="367"/>
      <c r="L142" s="368"/>
      <c r="M142" s="120"/>
      <c r="N142" s="32"/>
      <c r="O142" s="32"/>
      <c r="P142" s="51"/>
      <c r="Q142" s="120"/>
      <c r="R142" s="32"/>
      <c r="S142" s="32"/>
      <c r="T142" s="128"/>
      <c r="U142" s="193"/>
      <c r="V142" s="45"/>
      <c r="W142" s="45"/>
      <c r="X142" s="128"/>
      <c r="Y142" s="193"/>
      <c r="Z142" s="45"/>
      <c r="AA142" s="45"/>
      <c r="AB142" s="128"/>
      <c r="AC142" s="193"/>
      <c r="AD142" s="45"/>
      <c r="AE142" s="45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</row>
    <row r="143" spans="1:99" s="15" customFormat="1" ht="11.25">
      <c r="A143" s="85"/>
      <c r="B143" s="98"/>
      <c r="C143" s="51"/>
      <c r="D143" s="51"/>
      <c r="E143" s="51"/>
      <c r="F143" s="51"/>
      <c r="G143" s="51"/>
      <c r="H143" s="367"/>
      <c r="I143" s="367"/>
      <c r="J143" s="182"/>
      <c r="K143" s="367"/>
      <c r="L143" s="368"/>
      <c r="M143" s="120"/>
      <c r="N143" s="32"/>
      <c r="O143" s="32"/>
      <c r="P143" s="128"/>
      <c r="Q143" s="193"/>
      <c r="R143" s="45"/>
      <c r="S143" s="45"/>
      <c r="T143" s="128"/>
      <c r="U143" s="193"/>
      <c r="V143" s="45"/>
      <c r="W143" s="45"/>
      <c r="X143" s="128"/>
      <c r="Y143" s="193"/>
      <c r="Z143" s="45"/>
      <c r="AA143" s="45"/>
      <c r="AB143" s="128"/>
      <c r="AC143" s="193"/>
      <c r="AD143" s="45"/>
      <c r="AE143" s="45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</row>
    <row r="144" spans="1:99" s="15" customFormat="1" ht="11.25">
      <c r="A144" s="85" t="s">
        <v>405</v>
      </c>
      <c r="B144" s="98" t="s">
        <v>333</v>
      </c>
      <c r="C144" s="98"/>
      <c r="H144" s="367" t="s">
        <v>334</v>
      </c>
      <c r="I144" s="367"/>
      <c r="J144" s="182"/>
      <c r="K144" s="367"/>
      <c r="L144" s="368"/>
      <c r="M144" s="120"/>
      <c r="N144" s="32"/>
      <c r="O144" s="32"/>
      <c r="P144" s="51"/>
      <c r="Q144" s="51"/>
      <c r="R144" s="32"/>
      <c r="S144" s="122"/>
      <c r="T144" s="128"/>
      <c r="U144" s="128"/>
      <c r="V144" s="45"/>
      <c r="W144" s="319"/>
      <c r="X144" s="128"/>
      <c r="Y144" s="128"/>
      <c r="Z144" s="45"/>
      <c r="AA144" s="319"/>
      <c r="AB144" s="128"/>
      <c r="AC144" s="128"/>
      <c r="AD144" s="45"/>
      <c r="AE144" s="319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</row>
    <row r="145" spans="1:99" s="15" customFormat="1" ht="11.25">
      <c r="A145" s="85"/>
      <c r="C145" s="15" t="s">
        <v>31</v>
      </c>
      <c r="H145" s="368"/>
      <c r="I145" s="368"/>
      <c r="J145" s="140"/>
      <c r="K145" s="368"/>
      <c r="L145" s="368"/>
      <c r="M145" s="120"/>
      <c r="N145" s="32"/>
      <c r="O145" s="32"/>
      <c r="P145" s="51"/>
      <c r="Q145" s="51"/>
      <c r="R145" s="32"/>
      <c r="S145" s="122"/>
      <c r="T145" s="128"/>
      <c r="U145" s="128"/>
      <c r="V145" s="45"/>
      <c r="W145" s="319"/>
      <c r="X145" s="128"/>
      <c r="Y145" s="128"/>
      <c r="Z145" s="45"/>
      <c r="AA145" s="319"/>
      <c r="AB145" s="128"/>
      <c r="AC145" s="128"/>
      <c r="AD145" s="45"/>
      <c r="AE145" s="319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</row>
    <row r="146" spans="1:99" s="15" customFormat="1" ht="22.5">
      <c r="A146" s="85" t="s">
        <v>406</v>
      </c>
      <c r="D146" s="15" t="s">
        <v>177</v>
      </c>
      <c r="H146" s="372" t="s">
        <v>335</v>
      </c>
      <c r="I146" s="367"/>
      <c r="J146" s="182"/>
      <c r="K146" s="367"/>
      <c r="L146" s="368"/>
      <c r="M146" s="120"/>
      <c r="N146" s="32"/>
      <c r="O146" s="32"/>
      <c r="P146" s="51"/>
      <c r="Q146" s="51"/>
      <c r="R146" s="348"/>
      <c r="S146" s="122"/>
      <c r="T146" s="128"/>
      <c r="U146" s="128"/>
      <c r="V146" s="349"/>
      <c r="W146" s="319"/>
      <c r="X146" s="128"/>
      <c r="Y146" s="128"/>
      <c r="Z146" s="349"/>
      <c r="AA146" s="319"/>
      <c r="AB146" s="128"/>
      <c r="AC146" s="128"/>
      <c r="AD146" s="349"/>
      <c r="AE146" s="319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</row>
    <row r="147" spans="1:99" s="15" customFormat="1" ht="22.5">
      <c r="A147" s="85" t="s">
        <v>407</v>
      </c>
      <c r="D147" s="15" t="s">
        <v>178</v>
      </c>
      <c r="H147" s="372" t="s">
        <v>336</v>
      </c>
      <c r="I147" s="367"/>
      <c r="J147" s="182"/>
      <c r="K147" s="367"/>
      <c r="L147" s="368"/>
      <c r="M147" s="120"/>
      <c r="N147" s="32"/>
      <c r="O147" s="32"/>
      <c r="P147" s="51"/>
      <c r="Q147" s="51"/>
      <c r="R147" s="348"/>
      <c r="S147" s="122"/>
      <c r="T147" s="128"/>
      <c r="U147" s="128"/>
      <c r="V147" s="349"/>
      <c r="W147" s="319"/>
      <c r="X147" s="128"/>
      <c r="Y147" s="128"/>
      <c r="Z147" s="349"/>
      <c r="AA147" s="319"/>
      <c r="AB147" s="128"/>
      <c r="AC147" s="128"/>
      <c r="AD147" s="349"/>
      <c r="AE147" s="319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</row>
    <row r="148" spans="1:99" s="15" customFormat="1" ht="11.25">
      <c r="A148" s="85" t="s">
        <v>408</v>
      </c>
      <c r="C148" s="15" t="s">
        <v>300</v>
      </c>
      <c r="H148" s="367" t="s">
        <v>337</v>
      </c>
      <c r="I148" s="367"/>
      <c r="J148" s="182"/>
      <c r="K148" s="367"/>
      <c r="L148" s="368"/>
      <c r="M148" s="120"/>
      <c r="N148" s="32"/>
      <c r="O148" s="32"/>
      <c r="P148" s="51"/>
      <c r="Q148" s="51"/>
      <c r="R148" s="348"/>
      <c r="S148" s="122"/>
      <c r="T148" s="128"/>
      <c r="U148" s="128"/>
      <c r="V148" s="349"/>
      <c r="W148" s="319"/>
      <c r="X148" s="128"/>
      <c r="Y148" s="128"/>
      <c r="Z148" s="349"/>
      <c r="AA148" s="319"/>
      <c r="AB148" s="128"/>
      <c r="AC148" s="128"/>
      <c r="AD148" s="349"/>
      <c r="AE148" s="319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</row>
    <row r="149" spans="1:99" s="15" customFormat="1" ht="11.25">
      <c r="A149" s="85"/>
      <c r="C149" s="15" t="s">
        <v>10</v>
      </c>
      <c r="H149" s="147" t="s">
        <v>247</v>
      </c>
      <c r="I149" s="367"/>
      <c r="J149" s="182"/>
      <c r="K149" s="367"/>
      <c r="L149" s="368"/>
      <c r="M149" s="120"/>
      <c r="N149" s="32"/>
      <c r="O149" s="32"/>
      <c r="P149" s="51"/>
      <c r="Q149" s="51"/>
      <c r="R149" s="121"/>
      <c r="S149" s="122"/>
      <c r="T149" s="128"/>
      <c r="U149" s="128"/>
      <c r="V149" s="318"/>
      <c r="W149" s="319"/>
      <c r="X149" s="128"/>
      <c r="Y149" s="128"/>
      <c r="Z149" s="318"/>
      <c r="AA149" s="319"/>
      <c r="AB149" s="128"/>
      <c r="AC149" s="128"/>
      <c r="AD149" s="318"/>
      <c r="AE149" s="319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</row>
    <row r="150" spans="1:99" s="15" customFormat="1" ht="33.75">
      <c r="A150" s="85" t="s">
        <v>409</v>
      </c>
      <c r="D150" s="15" t="s">
        <v>11</v>
      </c>
      <c r="H150" s="372" t="s">
        <v>338</v>
      </c>
      <c r="I150" s="367"/>
      <c r="J150" s="182"/>
      <c r="K150" s="367"/>
      <c r="L150" s="368"/>
      <c r="M150" s="120"/>
      <c r="N150" s="32"/>
      <c r="O150" s="32"/>
      <c r="P150" s="51"/>
      <c r="Q150" s="120"/>
      <c r="R150" s="32"/>
      <c r="S150" s="122"/>
      <c r="T150" s="128"/>
      <c r="U150" s="193"/>
      <c r="V150" s="45"/>
      <c r="W150" s="319"/>
      <c r="X150" s="128"/>
      <c r="Y150" s="193"/>
      <c r="Z150" s="45"/>
      <c r="AA150" s="319"/>
      <c r="AB150" s="128"/>
      <c r="AC150" s="193"/>
      <c r="AD150" s="45"/>
      <c r="AE150" s="319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</row>
    <row r="151" spans="1:99" s="15" customFormat="1" ht="11.25">
      <c r="A151" s="85" t="s">
        <v>410</v>
      </c>
      <c r="D151" s="15" t="s">
        <v>12</v>
      </c>
      <c r="H151" s="372"/>
      <c r="I151" s="367"/>
      <c r="J151" s="182"/>
      <c r="K151" s="367"/>
      <c r="L151" s="368"/>
      <c r="M151" s="120"/>
      <c r="N151" s="32"/>
      <c r="O151" s="32"/>
      <c r="P151" s="51"/>
      <c r="Q151" s="120"/>
      <c r="R151" s="122"/>
      <c r="S151" s="122"/>
      <c r="T151" s="128"/>
      <c r="U151" s="350"/>
      <c r="V151" s="319"/>
      <c r="W151" s="319"/>
      <c r="X151" s="128"/>
      <c r="Y151" s="350"/>
      <c r="Z151" s="319"/>
      <c r="AA151" s="319"/>
      <c r="AB151" s="128"/>
      <c r="AC151" s="350"/>
      <c r="AD151" s="319"/>
      <c r="AE151" s="319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</row>
    <row r="152" spans="1:99" s="15" customFormat="1" ht="11.25">
      <c r="A152" s="85" t="s">
        <v>411</v>
      </c>
      <c r="D152" s="15" t="s">
        <v>13</v>
      </c>
      <c r="H152" s="372"/>
      <c r="I152" s="367"/>
      <c r="J152" s="182"/>
      <c r="K152" s="367"/>
      <c r="L152" s="368"/>
      <c r="M152" s="120"/>
      <c r="N152" s="32"/>
      <c r="O152" s="32"/>
      <c r="P152" s="51"/>
      <c r="Q152" s="120"/>
      <c r="R152" s="121"/>
      <c r="S152" s="122"/>
      <c r="T152" s="128"/>
      <c r="U152" s="193"/>
      <c r="V152" s="318"/>
      <c r="W152" s="319"/>
      <c r="X152" s="128"/>
      <c r="Y152" s="193"/>
      <c r="Z152" s="318"/>
      <c r="AA152" s="319"/>
      <c r="AB152" s="128"/>
      <c r="AC152" s="193"/>
      <c r="AD152" s="318"/>
      <c r="AE152" s="319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</row>
    <row r="153" spans="1:99" s="15" customFormat="1" ht="33.75">
      <c r="A153" s="85" t="s">
        <v>412</v>
      </c>
      <c r="D153" s="15" t="s">
        <v>14</v>
      </c>
      <c r="H153" s="372" t="s">
        <v>339</v>
      </c>
      <c r="I153" s="367"/>
      <c r="J153" s="472" t="s">
        <v>629</v>
      </c>
      <c r="K153" s="367"/>
      <c r="L153" s="368"/>
      <c r="M153" s="120"/>
      <c r="N153" s="32"/>
      <c r="O153" s="32"/>
      <c r="P153" s="51"/>
      <c r="Q153" s="120"/>
      <c r="R153" s="121"/>
      <c r="S153" s="122"/>
      <c r="T153" s="128"/>
      <c r="U153" s="193"/>
      <c r="V153" s="318"/>
      <c r="W153" s="319"/>
      <c r="X153" s="128"/>
      <c r="Y153" s="193"/>
      <c r="Z153" s="318"/>
      <c r="AA153" s="319"/>
      <c r="AB153" s="128"/>
      <c r="AC153" s="193"/>
      <c r="AD153" s="318"/>
      <c r="AE153" s="319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</row>
    <row r="154" spans="1:99" s="15" customFormat="1" ht="11.25">
      <c r="A154" s="85"/>
      <c r="C154" s="15" t="s">
        <v>15</v>
      </c>
      <c r="H154" s="372"/>
      <c r="I154" s="367"/>
      <c r="J154" s="367"/>
      <c r="K154" s="367"/>
      <c r="L154" s="368"/>
      <c r="M154" s="120"/>
      <c r="N154" s="32"/>
      <c r="O154" s="32"/>
      <c r="P154" s="51"/>
      <c r="Q154" s="120"/>
      <c r="R154" s="121"/>
      <c r="S154" s="122"/>
      <c r="T154" s="128"/>
      <c r="U154" s="193"/>
      <c r="V154" s="318"/>
      <c r="W154" s="319"/>
      <c r="X154" s="128"/>
      <c r="Y154" s="193"/>
      <c r="Z154" s="318"/>
      <c r="AA154" s="319"/>
      <c r="AB154" s="128"/>
      <c r="AC154" s="193"/>
      <c r="AD154" s="318"/>
      <c r="AE154" s="319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</row>
    <row r="155" spans="1:99" s="15" customFormat="1" ht="11.25">
      <c r="A155" s="85" t="s">
        <v>413</v>
      </c>
      <c r="D155" s="15" t="s">
        <v>11</v>
      </c>
      <c r="H155" s="372"/>
      <c r="I155" s="367"/>
      <c r="J155" s="367"/>
      <c r="K155" s="367"/>
      <c r="L155" s="368"/>
      <c r="M155" s="120"/>
      <c r="N155" s="32"/>
      <c r="O155" s="32"/>
      <c r="P155" s="51"/>
      <c r="Q155" s="120"/>
      <c r="R155" s="121"/>
      <c r="S155" s="122"/>
      <c r="T155" s="128"/>
      <c r="U155" s="193"/>
      <c r="V155" s="318"/>
      <c r="W155" s="319"/>
      <c r="X155" s="128"/>
      <c r="Y155" s="193"/>
      <c r="Z155" s="318"/>
      <c r="AA155" s="319"/>
      <c r="AB155" s="128"/>
      <c r="AC155" s="193"/>
      <c r="AD155" s="318"/>
      <c r="AE155" s="319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</row>
    <row r="156" spans="1:99" s="15" customFormat="1" ht="11.25">
      <c r="A156" s="85" t="s">
        <v>414</v>
      </c>
      <c r="D156" s="15" t="s">
        <v>12</v>
      </c>
      <c r="H156" s="372"/>
      <c r="I156" s="367"/>
      <c r="J156" s="367"/>
      <c r="K156" s="367"/>
      <c r="L156" s="368"/>
      <c r="M156" s="120"/>
      <c r="N156" s="32"/>
      <c r="O156" s="32"/>
      <c r="P156" s="51"/>
      <c r="Q156" s="120"/>
      <c r="R156" s="122"/>
      <c r="S156" s="122"/>
      <c r="T156" s="128"/>
      <c r="U156" s="193"/>
      <c r="V156" s="319"/>
      <c r="W156" s="319"/>
      <c r="X156" s="128"/>
      <c r="Y156" s="193"/>
      <c r="Z156" s="319"/>
      <c r="AA156" s="319"/>
      <c r="AB156" s="128"/>
      <c r="AC156" s="193"/>
      <c r="AD156" s="319"/>
      <c r="AE156" s="319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</row>
    <row r="157" spans="1:99" s="15" customFormat="1" ht="11.25">
      <c r="A157" s="85" t="s">
        <v>415</v>
      </c>
      <c r="D157" s="15" t="s">
        <v>13</v>
      </c>
      <c r="H157" s="372"/>
      <c r="I157" s="367"/>
      <c r="J157" s="367"/>
      <c r="K157" s="367"/>
      <c r="L157" s="368"/>
      <c r="M157" s="120"/>
      <c r="N157" s="32"/>
      <c r="O157" s="32"/>
      <c r="P157" s="51"/>
      <c r="Q157" s="120"/>
      <c r="R157" s="121"/>
      <c r="S157" s="122"/>
      <c r="T157" s="128"/>
      <c r="U157" s="193"/>
      <c r="V157" s="318"/>
      <c r="W157" s="319"/>
      <c r="X157" s="128"/>
      <c r="Y157" s="193"/>
      <c r="Z157" s="318"/>
      <c r="AA157" s="319"/>
      <c r="AB157" s="128"/>
      <c r="AC157" s="193"/>
      <c r="AD157" s="318"/>
      <c r="AE157" s="319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</row>
    <row r="158" spans="1:99" s="15" customFormat="1" ht="11.25">
      <c r="A158" s="85" t="s">
        <v>416</v>
      </c>
      <c r="D158" s="15" t="s">
        <v>14</v>
      </c>
      <c r="H158" s="372"/>
      <c r="I158" s="367"/>
      <c r="J158" s="367"/>
      <c r="K158" s="367"/>
      <c r="L158" s="368"/>
      <c r="M158" s="120"/>
      <c r="N158" s="32"/>
      <c r="O158" s="32"/>
      <c r="P158" s="51"/>
      <c r="Q158" s="120"/>
      <c r="R158" s="121"/>
      <c r="S158" s="122"/>
      <c r="T158" s="128"/>
      <c r="U158" s="193"/>
      <c r="V158" s="318"/>
      <c r="W158" s="319"/>
      <c r="X158" s="128"/>
      <c r="Y158" s="193"/>
      <c r="Z158" s="318"/>
      <c r="AA158" s="319"/>
      <c r="AB158" s="128"/>
      <c r="AC158" s="193"/>
      <c r="AD158" s="318"/>
      <c r="AE158" s="319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</row>
    <row r="159" spans="1:99" s="15" customFormat="1" ht="11.25">
      <c r="A159" s="85"/>
      <c r="C159" s="15" t="s">
        <v>16</v>
      </c>
      <c r="H159" s="372"/>
      <c r="I159" s="367"/>
      <c r="J159" s="367"/>
      <c r="K159" s="367"/>
      <c r="L159" s="368"/>
      <c r="M159" s="120"/>
      <c r="N159" s="32"/>
      <c r="O159" s="32"/>
      <c r="P159" s="51"/>
      <c r="Q159" s="120"/>
      <c r="R159" s="32"/>
      <c r="S159" s="32"/>
      <c r="T159" s="128"/>
      <c r="U159" s="193"/>
      <c r="V159" s="45"/>
      <c r="W159" s="45"/>
      <c r="X159" s="128"/>
      <c r="Y159" s="193"/>
      <c r="Z159" s="45"/>
      <c r="AA159" s="45"/>
      <c r="AB159" s="128"/>
      <c r="AC159" s="193"/>
      <c r="AD159" s="45"/>
      <c r="AE159" s="45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</row>
    <row r="160" spans="1:99" s="15" customFormat="1" ht="11.25">
      <c r="A160" s="85"/>
      <c r="C160" s="15" t="s">
        <v>10</v>
      </c>
      <c r="H160" s="372"/>
      <c r="I160" s="367"/>
      <c r="J160" s="367"/>
      <c r="K160" s="367"/>
      <c r="L160" s="368"/>
      <c r="M160" s="120"/>
      <c r="N160" s="32"/>
      <c r="O160" s="32"/>
      <c r="P160" s="51"/>
      <c r="Q160" s="120"/>
      <c r="R160" s="121"/>
      <c r="S160" s="122"/>
      <c r="T160" s="128"/>
      <c r="U160" s="193"/>
      <c r="V160" s="318"/>
      <c r="W160" s="319"/>
      <c r="X160" s="128"/>
      <c r="Y160" s="193"/>
      <c r="Z160" s="318"/>
      <c r="AA160" s="319"/>
      <c r="AB160" s="128"/>
      <c r="AC160" s="193"/>
      <c r="AD160" s="318"/>
      <c r="AE160" s="319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</row>
    <row r="161" spans="1:99" s="15" customFormat="1" ht="11.25">
      <c r="A161" s="85" t="s">
        <v>417</v>
      </c>
      <c r="D161" s="15" t="s">
        <v>17</v>
      </c>
      <c r="H161" s="372"/>
      <c r="I161" s="367"/>
      <c r="J161" s="367"/>
      <c r="K161" s="367"/>
      <c r="L161" s="368"/>
      <c r="M161" s="120"/>
      <c r="N161" s="32"/>
      <c r="O161" s="32"/>
      <c r="P161" s="51"/>
      <c r="Q161" s="120"/>
      <c r="R161" s="122"/>
      <c r="S161" s="122"/>
      <c r="T161" s="128"/>
      <c r="U161" s="193"/>
      <c r="V161" s="319"/>
      <c r="W161" s="319"/>
      <c r="X161" s="128"/>
      <c r="Y161" s="193"/>
      <c r="Z161" s="319"/>
      <c r="AA161" s="319"/>
      <c r="AB161" s="128"/>
      <c r="AC161" s="193"/>
      <c r="AD161" s="319"/>
      <c r="AE161" s="319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</row>
    <row r="162" spans="1:99" s="15" customFormat="1" ht="22.5">
      <c r="A162" s="85" t="s">
        <v>418</v>
      </c>
      <c r="D162" s="15" t="s">
        <v>18</v>
      </c>
      <c r="H162" s="372" t="s">
        <v>340</v>
      </c>
      <c r="I162" s="367"/>
      <c r="J162" s="472" t="s">
        <v>630</v>
      </c>
      <c r="K162" s="367"/>
      <c r="L162" s="368"/>
      <c r="M162" s="120"/>
      <c r="N162" s="32"/>
      <c r="O162" s="32"/>
      <c r="P162" s="51"/>
      <c r="Q162" s="120"/>
      <c r="R162" s="32"/>
      <c r="S162" s="122"/>
      <c r="T162" s="128"/>
      <c r="U162" s="193"/>
      <c r="V162" s="45"/>
      <c r="W162" s="319"/>
      <c r="X162" s="128"/>
      <c r="Y162" s="193"/>
      <c r="Z162" s="45"/>
      <c r="AA162" s="319"/>
      <c r="AB162" s="128"/>
      <c r="AC162" s="193"/>
      <c r="AD162" s="45"/>
      <c r="AE162" s="319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</row>
    <row r="163" spans="1:99" s="15" customFormat="1" ht="11.25">
      <c r="A163" s="85"/>
      <c r="C163" s="15" t="s">
        <v>15</v>
      </c>
      <c r="H163" s="367"/>
      <c r="I163" s="367"/>
      <c r="J163" s="182"/>
      <c r="K163" s="367"/>
      <c r="L163" s="368"/>
      <c r="M163" s="120"/>
      <c r="N163" s="32"/>
      <c r="O163" s="32"/>
      <c r="P163" s="51"/>
      <c r="Q163" s="120"/>
      <c r="R163" s="122"/>
      <c r="S163" s="122"/>
      <c r="T163" s="128"/>
      <c r="U163" s="193"/>
      <c r="V163" s="319"/>
      <c r="W163" s="319"/>
      <c r="X163" s="128"/>
      <c r="Y163" s="193"/>
      <c r="Z163" s="319"/>
      <c r="AA163" s="319"/>
      <c r="AB163" s="128"/>
      <c r="AC163" s="193"/>
      <c r="AD163" s="319"/>
      <c r="AE163" s="319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</row>
    <row r="164" spans="1:99" s="15" customFormat="1" ht="11.25">
      <c r="A164" s="85" t="s">
        <v>419</v>
      </c>
      <c r="D164" s="15" t="s">
        <v>17</v>
      </c>
      <c r="H164" s="367"/>
      <c r="I164" s="367"/>
      <c r="J164" s="367"/>
      <c r="K164" s="367"/>
      <c r="L164" s="368"/>
      <c r="M164" s="120"/>
      <c r="N164" s="32"/>
      <c r="O164" s="32"/>
      <c r="P164" s="51"/>
      <c r="Q164" s="120"/>
      <c r="R164" s="122"/>
      <c r="S164" s="122"/>
      <c r="T164" s="128"/>
      <c r="U164" s="193"/>
      <c r="V164" s="319"/>
      <c r="W164" s="319"/>
      <c r="X164" s="128"/>
      <c r="Y164" s="193"/>
      <c r="Z164" s="319"/>
      <c r="AA164" s="319"/>
      <c r="AB164" s="128"/>
      <c r="AC164" s="193"/>
      <c r="AD164" s="319"/>
      <c r="AE164" s="319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</row>
    <row r="165" spans="1:99" s="15" customFormat="1" ht="11.25">
      <c r="A165" s="85" t="s">
        <v>420</v>
      </c>
      <c r="D165" s="15" t="s">
        <v>19</v>
      </c>
      <c r="H165" s="367"/>
      <c r="I165" s="367"/>
      <c r="J165" s="367"/>
      <c r="K165" s="367"/>
      <c r="L165" s="368"/>
      <c r="M165" s="120"/>
      <c r="N165" s="348"/>
      <c r="O165" s="32"/>
      <c r="P165" s="51"/>
      <c r="Q165" s="120"/>
      <c r="R165" s="122"/>
      <c r="S165" s="122"/>
      <c r="T165" s="128"/>
      <c r="U165" s="193"/>
      <c r="V165" s="319"/>
      <c r="W165" s="319"/>
      <c r="X165" s="128"/>
      <c r="Y165" s="193"/>
      <c r="Z165" s="319"/>
      <c r="AA165" s="319"/>
      <c r="AB165" s="128"/>
      <c r="AC165" s="193"/>
      <c r="AD165" s="319"/>
      <c r="AE165" s="319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</row>
    <row r="166" spans="1:99" s="15" customFormat="1" ht="11.25">
      <c r="A166" s="85"/>
      <c r="C166" s="15" t="s">
        <v>20</v>
      </c>
      <c r="H166" s="367"/>
      <c r="I166" s="367"/>
      <c r="J166" s="367"/>
      <c r="K166" s="367"/>
      <c r="L166" s="368"/>
      <c r="M166" s="120"/>
      <c r="N166" s="32"/>
      <c r="O166" s="32"/>
      <c r="P166" s="51"/>
      <c r="Q166" s="120"/>
      <c r="R166" s="32"/>
      <c r="S166" s="32"/>
      <c r="T166" s="128"/>
      <c r="U166" s="193"/>
      <c r="V166" s="45"/>
      <c r="W166" s="45"/>
      <c r="X166" s="128"/>
      <c r="Y166" s="193"/>
      <c r="Z166" s="45"/>
      <c r="AA166" s="45"/>
      <c r="AB166" s="128"/>
      <c r="AC166" s="193"/>
      <c r="AD166" s="45"/>
      <c r="AE166" s="45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</row>
    <row r="167" spans="1:99" s="15" customFormat="1" ht="11.25">
      <c r="A167" s="85"/>
      <c r="B167" s="15" t="s">
        <v>260</v>
      </c>
      <c r="H167" s="367"/>
      <c r="I167" s="367"/>
      <c r="J167" s="367"/>
      <c r="K167" s="367"/>
      <c r="L167" s="368"/>
      <c r="M167" s="120"/>
      <c r="N167" s="32"/>
      <c r="O167" s="32"/>
      <c r="P167" s="51"/>
      <c r="Q167" s="120"/>
      <c r="R167" s="32"/>
      <c r="S167" s="32"/>
      <c r="T167" s="128"/>
      <c r="U167" s="193"/>
      <c r="V167" s="45"/>
      <c r="W167" s="45"/>
      <c r="X167" s="128"/>
      <c r="Y167" s="193"/>
      <c r="Z167" s="45"/>
      <c r="AA167" s="45"/>
      <c r="AB167" s="128"/>
      <c r="AC167" s="193"/>
      <c r="AD167" s="45"/>
      <c r="AE167" s="45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</row>
    <row r="168" spans="1:227" s="15" customFormat="1" ht="12" thickBot="1">
      <c r="A168" s="85"/>
      <c r="B168" s="98"/>
      <c r="C168" s="51"/>
      <c r="D168" s="51"/>
      <c r="E168" s="51"/>
      <c r="F168" s="51"/>
      <c r="G168" s="51"/>
      <c r="H168" s="367"/>
      <c r="I168" s="367"/>
      <c r="J168" s="367"/>
      <c r="K168" s="367"/>
      <c r="L168" s="368"/>
      <c r="M168" s="120"/>
      <c r="N168" s="32"/>
      <c r="O168" s="32"/>
      <c r="P168" s="128"/>
      <c r="Q168" s="193"/>
      <c r="R168" s="45"/>
      <c r="S168" s="45"/>
      <c r="T168" s="128"/>
      <c r="U168" s="193"/>
      <c r="V168" s="45"/>
      <c r="W168" s="45"/>
      <c r="X168" s="128"/>
      <c r="Y168" s="193"/>
      <c r="Z168" s="45"/>
      <c r="AA168" s="45"/>
      <c r="AB168" s="128"/>
      <c r="AC168" s="193"/>
      <c r="AD168" s="45"/>
      <c r="AE168" s="45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</row>
    <row r="169" spans="1:227" s="15" customFormat="1" ht="12" thickTop="1">
      <c r="A169" s="347"/>
      <c r="B169" s="179" t="s">
        <v>268</v>
      </c>
      <c r="C169" s="93"/>
      <c r="D169" s="93"/>
      <c r="E169" s="93"/>
      <c r="F169" s="93"/>
      <c r="G169" s="93"/>
      <c r="H169" s="373"/>
      <c r="I169" s="373"/>
      <c r="J169" s="373"/>
      <c r="K169" s="373"/>
      <c r="L169" s="374"/>
      <c r="M169" s="120"/>
      <c r="N169" s="32"/>
      <c r="O169" s="32"/>
      <c r="P169" s="128"/>
      <c r="Q169" s="193"/>
      <c r="R169" s="45"/>
      <c r="S169" s="45"/>
      <c r="T169" s="128"/>
      <c r="U169" s="193"/>
      <c r="V169" s="45"/>
      <c r="W169" s="45"/>
      <c r="X169" s="128"/>
      <c r="Y169" s="193"/>
      <c r="Z169" s="45"/>
      <c r="AA169" s="45"/>
      <c r="AB169" s="128"/>
      <c r="AC169" s="193"/>
      <c r="AD169" s="45"/>
      <c r="AE169" s="45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</row>
    <row r="170" spans="1:227" ht="12" customHeight="1">
      <c r="A170" s="97"/>
      <c r="B170" s="128"/>
      <c r="C170" s="128"/>
      <c r="D170" s="128"/>
      <c r="E170" s="128"/>
      <c r="F170" s="128"/>
      <c r="G170" s="128"/>
      <c r="H170" s="140"/>
      <c r="I170" s="181"/>
      <c r="J170" s="143"/>
      <c r="K170" s="143"/>
      <c r="L170" s="143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GW170" s="128"/>
      <c r="GX170" s="128"/>
      <c r="GY170" s="128"/>
      <c r="GZ170" s="128"/>
      <c r="HA170" s="128"/>
      <c r="HB170" s="128"/>
      <c r="HC170" s="128"/>
      <c r="HD170" s="128"/>
      <c r="HE170" s="128"/>
      <c r="HF170" s="128"/>
      <c r="HG170" s="128"/>
      <c r="HH170" s="128"/>
      <c r="HI170" s="128"/>
      <c r="HJ170" s="128"/>
      <c r="HK170" s="128"/>
      <c r="HL170" s="128"/>
      <c r="HM170" s="128"/>
      <c r="HN170" s="128"/>
      <c r="HO170" s="128"/>
      <c r="HP170" s="128"/>
      <c r="HQ170" s="128"/>
      <c r="HR170" s="128"/>
      <c r="HS170" s="128"/>
    </row>
    <row r="171" spans="1:227" ht="12" customHeight="1">
      <c r="A171" s="85">
        <v>3</v>
      </c>
      <c r="B171" s="37" t="s">
        <v>181</v>
      </c>
      <c r="C171" s="37"/>
      <c r="D171" s="37"/>
      <c r="E171" s="37"/>
      <c r="F171" s="37"/>
      <c r="H171" s="140"/>
      <c r="I171" s="140"/>
      <c r="J171" s="143"/>
      <c r="K171" s="143"/>
      <c r="L171" s="143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GW171" s="128"/>
      <c r="GX171" s="128"/>
      <c r="GY171" s="128"/>
      <c r="GZ171" s="128"/>
      <c r="HA171" s="128"/>
      <c r="HB171" s="128"/>
      <c r="HC171" s="128"/>
      <c r="HD171" s="128"/>
      <c r="HE171" s="128"/>
      <c r="HF171" s="128"/>
      <c r="HG171" s="128"/>
      <c r="HH171" s="128"/>
      <c r="HI171" s="128"/>
      <c r="HJ171" s="128"/>
      <c r="HK171" s="128"/>
      <c r="HL171" s="128"/>
      <c r="HM171" s="128"/>
      <c r="HN171" s="128"/>
      <c r="HO171" s="128"/>
      <c r="HP171" s="128"/>
      <c r="HQ171" s="128"/>
      <c r="HR171" s="128"/>
      <c r="HS171" s="128"/>
    </row>
    <row r="172" spans="1:227" ht="11.25">
      <c r="A172" s="85" t="s">
        <v>28</v>
      </c>
      <c r="B172" s="98" t="s">
        <v>244</v>
      </c>
      <c r="H172" s="147" t="s">
        <v>246</v>
      </c>
      <c r="I172" s="140"/>
      <c r="J172" s="143"/>
      <c r="K172" s="143"/>
      <c r="L172" s="143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GW172" s="128"/>
      <c r="GX172" s="128"/>
      <c r="GY172" s="128"/>
      <c r="GZ172" s="128"/>
      <c r="HA172" s="128"/>
      <c r="HB172" s="128"/>
      <c r="HC172" s="128"/>
      <c r="HD172" s="128"/>
      <c r="HE172" s="128"/>
      <c r="HF172" s="128"/>
      <c r="HG172" s="128"/>
      <c r="HH172" s="128"/>
      <c r="HI172" s="128"/>
      <c r="HJ172" s="128"/>
      <c r="HK172" s="128"/>
      <c r="HL172" s="128"/>
      <c r="HM172" s="128"/>
      <c r="HN172" s="128"/>
      <c r="HO172" s="128"/>
      <c r="HP172" s="128"/>
      <c r="HQ172" s="128"/>
      <c r="HR172" s="128"/>
      <c r="HS172" s="128"/>
    </row>
    <row r="173" spans="1:227" ht="12" customHeight="1">
      <c r="A173" s="85"/>
      <c r="B173" s="15"/>
      <c r="C173" s="15" t="s">
        <v>10</v>
      </c>
      <c r="H173" s="147" t="s">
        <v>247</v>
      </c>
      <c r="I173" s="140"/>
      <c r="J173" s="143"/>
      <c r="K173" s="143"/>
      <c r="L173" s="143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GW173" s="128"/>
      <c r="GX173" s="128"/>
      <c r="GY173" s="128"/>
      <c r="GZ173" s="128"/>
      <c r="HA173" s="128"/>
      <c r="HB173" s="128"/>
      <c r="HC173" s="128"/>
      <c r="HD173" s="128"/>
      <c r="HE173" s="128"/>
      <c r="HF173" s="128"/>
      <c r="HG173" s="128"/>
      <c r="HH173" s="128"/>
      <c r="HI173" s="128"/>
      <c r="HJ173" s="128"/>
      <c r="HK173" s="128"/>
      <c r="HL173" s="128"/>
      <c r="HM173" s="128"/>
      <c r="HN173" s="128"/>
      <c r="HO173" s="128"/>
      <c r="HP173" s="128"/>
      <c r="HQ173" s="128"/>
      <c r="HR173" s="128"/>
      <c r="HS173" s="128"/>
    </row>
    <row r="174" spans="1:227" ht="26.25" customHeight="1">
      <c r="A174" s="85" t="s">
        <v>269</v>
      </c>
      <c r="B174" s="15"/>
      <c r="C174" s="15"/>
      <c r="D174" s="98" t="s">
        <v>11</v>
      </c>
      <c r="H174" s="147" t="s">
        <v>248</v>
      </c>
      <c r="I174" s="140"/>
      <c r="J174" s="143"/>
      <c r="K174" s="143"/>
      <c r="L174" s="143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GW174" s="128"/>
      <c r="GX174" s="128"/>
      <c r="GY174" s="128"/>
      <c r="GZ174" s="128"/>
      <c r="HA174" s="128"/>
      <c r="HB174" s="128"/>
      <c r="HC174" s="128"/>
      <c r="HD174" s="128"/>
      <c r="HE174" s="128"/>
      <c r="HF174" s="128"/>
      <c r="HG174" s="128"/>
      <c r="HH174" s="128"/>
      <c r="HI174" s="128"/>
      <c r="HJ174" s="128"/>
      <c r="HK174" s="128"/>
      <c r="HL174" s="128"/>
      <c r="HM174" s="128"/>
      <c r="HN174" s="128"/>
      <c r="HO174" s="128"/>
      <c r="HP174" s="128"/>
      <c r="HQ174" s="128"/>
      <c r="HR174" s="128"/>
      <c r="HS174" s="128"/>
    </row>
    <row r="175" spans="1:227" ht="12" customHeight="1">
      <c r="A175" s="85" t="s">
        <v>270</v>
      </c>
      <c r="B175" s="15"/>
      <c r="C175" s="15"/>
      <c r="D175" s="98" t="s">
        <v>12</v>
      </c>
      <c r="H175" s="140"/>
      <c r="I175" s="140"/>
      <c r="J175" s="143"/>
      <c r="K175" s="143"/>
      <c r="L175" s="143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GW175" s="128"/>
      <c r="GX175" s="128"/>
      <c r="GY175" s="128"/>
      <c r="GZ175" s="128"/>
      <c r="HA175" s="128"/>
      <c r="HB175" s="128"/>
      <c r="HC175" s="128"/>
      <c r="HD175" s="128"/>
      <c r="HE175" s="128"/>
      <c r="HF175" s="128"/>
      <c r="HG175" s="128"/>
      <c r="HH175" s="128"/>
      <c r="HI175" s="128"/>
      <c r="HJ175" s="128"/>
      <c r="HK175" s="128"/>
      <c r="HL175" s="128"/>
      <c r="HM175" s="128"/>
      <c r="HN175" s="128"/>
      <c r="HO175" s="128"/>
      <c r="HP175" s="128"/>
      <c r="HQ175" s="128"/>
      <c r="HR175" s="128"/>
      <c r="HS175" s="128"/>
    </row>
    <row r="176" spans="1:227" ht="11.25">
      <c r="A176" s="85" t="s">
        <v>421</v>
      </c>
      <c r="B176" s="15"/>
      <c r="C176" s="15"/>
      <c r="D176" s="98" t="s">
        <v>13</v>
      </c>
      <c r="H176" s="140"/>
      <c r="I176" s="140"/>
      <c r="J176" s="147"/>
      <c r="K176" s="143"/>
      <c r="L176" s="143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GW176" s="128"/>
      <c r="GX176" s="128"/>
      <c r="GY176" s="128"/>
      <c r="GZ176" s="128"/>
      <c r="HA176" s="128"/>
      <c r="HB176" s="128"/>
      <c r="HC176" s="128"/>
      <c r="HD176" s="128"/>
      <c r="HE176" s="128"/>
      <c r="HF176" s="128"/>
      <c r="HG176" s="128"/>
      <c r="HH176" s="128"/>
      <c r="HI176" s="128"/>
      <c r="HJ176" s="128"/>
      <c r="HK176" s="128"/>
      <c r="HL176" s="128"/>
      <c r="HM176" s="128"/>
      <c r="HN176" s="128"/>
      <c r="HO176" s="128"/>
      <c r="HP176" s="128"/>
      <c r="HQ176" s="128"/>
      <c r="HR176" s="128"/>
      <c r="HS176" s="128"/>
    </row>
    <row r="177" spans="1:227" ht="33.75">
      <c r="A177" s="85" t="s">
        <v>422</v>
      </c>
      <c r="B177" s="15"/>
      <c r="C177" s="15"/>
      <c r="D177" s="98" t="s">
        <v>14</v>
      </c>
      <c r="H177" s="140" t="s">
        <v>250</v>
      </c>
      <c r="I177" s="140"/>
      <c r="J177" s="472" t="s">
        <v>629</v>
      </c>
      <c r="K177" s="143"/>
      <c r="L177" s="143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GW177" s="128"/>
      <c r="GX177" s="128"/>
      <c r="GY177" s="128"/>
      <c r="GZ177" s="128"/>
      <c r="HA177" s="128"/>
      <c r="HB177" s="128"/>
      <c r="HC177" s="128"/>
      <c r="HD177" s="128"/>
      <c r="HE177" s="128"/>
      <c r="HF177" s="128"/>
      <c r="HG177" s="128"/>
      <c r="HH177" s="128"/>
      <c r="HI177" s="128"/>
      <c r="HJ177" s="128"/>
      <c r="HK177" s="128"/>
      <c r="HL177" s="128"/>
      <c r="HM177" s="128"/>
      <c r="HN177" s="128"/>
      <c r="HO177" s="128"/>
      <c r="HP177" s="128"/>
      <c r="HQ177" s="128"/>
      <c r="HR177" s="128"/>
      <c r="HS177" s="128"/>
    </row>
    <row r="178" spans="1:227" ht="12" customHeight="1">
      <c r="A178" s="85"/>
      <c r="B178" s="15"/>
      <c r="C178" s="15" t="s">
        <v>15</v>
      </c>
      <c r="H178" s="140"/>
      <c r="I178" s="140"/>
      <c r="J178" s="182"/>
      <c r="K178" s="143"/>
      <c r="L178" s="143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GW178" s="128"/>
      <c r="GX178" s="128"/>
      <c r="GY178" s="128"/>
      <c r="GZ178" s="128"/>
      <c r="HA178" s="128"/>
      <c r="HB178" s="128"/>
      <c r="HC178" s="128"/>
      <c r="HD178" s="128"/>
      <c r="HE178" s="128"/>
      <c r="HF178" s="128"/>
      <c r="HG178" s="128"/>
      <c r="HH178" s="128"/>
      <c r="HI178" s="128"/>
      <c r="HJ178" s="128"/>
      <c r="HK178" s="128"/>
      <c r="HL178" s="128"/>
      <c r="HM178" s="128"/>
      <c r="HN178" s="128"/>
      <c r="HO178" s="128"/>
      <c r="HP178" s="128"/>
      <c r="HQ178" s="128"/>
      <c r="HR178" s="128"/>
      <c r="HS178" s="128"/>
    </row>
    <row r="179" spans="1:227" ht="12" customHeight="1">
      <c r="A179" s="85" t="s">
        <v>423</v>
      </c>
      <c r="B179" s="15"/>
      <c r="C179" s="15"/>
      <c r="D179" s="98" t="s">
        <v>11</v>
      </c>
      <c r="H179" s="140"/>
      <c r="I179" s="140"/>
      <c r="J179" s="182"/>
      <c r="K179" s="143"/>
      <c r="L179" s="143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GW179" s="128"/>
      <c r="GX179" s="128"/>
      <c r="GY179" s="128"/>
      <c r="GZ179" s="128"/>
      <c r="HA179" s="128"/>
      <c r="HB179" s="128"/>
      <c r="HC179" s="128"/>
      <c r="HD179" s="128"/>
      <c r="HE179" s="128"/>
      <c r="HF179" s="128"/>
      <c r="HG179" s="128"/>
      <c r="HH179" s="128"/>
      <c r="HI179" s="128"/>
      <c r="HJ179" s="128"/>
      <c r="HK179" s="128"/>
      <c r="HL179" s="128"/>
      <c r="HM179" s="128"/>
      <c r="HN179" s="128"/>
      <c r="HO179" s="128"/>
      <c r="HP179" s="128"/>
      <c r="HQ179" s="128"/>
      <c r="HR179" s="128"/>
      <c r="HS179" s="128"/>
    </row>
    <row r="180" spans="1:227" ht="12" customHeight="1">
      <c r="A180" s="85" t="s">
        <v>424</v>
      </c>
      <c r="B180" s="15"/>
      <c r="C180" s="15"/>
      <c r="D180" s="98" t="s">
        <v>12</v>
      </c>
      <c r="H180" s="140"/>
      <c r="I180" s="140"/>
      <c r="J180" s="182"/>
      <c r="K180" s="143"/>
      <c r="L180" s="143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GW180" s="128"/>
      <c r="GX180" s="128"/>
      <c r="GY180" s="128"/>
      <c r="GZ180" s="128"/>
      <c r="HA180" s="128"/>
      <c r="HB180" s="128"/>
      <c r="HC180" s="128"/>
      <c r="HD180" s="128"/>
      <c r="HE180" s="128"/>
      <c r="HF180" s="128"/>
      <c r="HG180" s="128"/>
      <c r="HH180" s="128"/>
      <c r="HI180" s="128"/>
      <c r="HJ180" s="128"/>
      <c r="HK180" s="128"/>
      <c r="HL180" s="128"/>
      <c r="HM180" s="128"/>
      <c r="HN180" s="128"/>
      <c r="HO180" s="128"/>
      <c r="HP180" s="128"/>
      <c r="HQ180" s="128"/>
      <c r="HR180" s="128"/>
      <c r="HS180" s="128"/>
    </row>
    <row r="181" spans="1:227" ht="11.25">
      <c r="A181" s="85" t="s">
        <v>425</v>
      </c>
      <c r="B181" s="15"/>
      <c r="C181" s="15"/>
      <c r="D181" s="98" t="s">
        <v>13</v>
      </c>
      <c r="H181" s="140"/>
      <c r="I181" s="140"/>
      <c r="J181" s="182"/>
      <c r="K181" s="143"/>
      <c r="L181" s="143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GW181" s="128"/>
      <c r="GX181" s="128"/>
      <c r="GY181" s="128"/>
      <c r="GZ181" s="128"/>
      <c r="HA181" s="128"/>
      <c r="HB181" s="128"/>
      <c r="HC181" s="128"/>
      <c r="HD181" s="128"/>
      <c r="HE181" s="128"/>
      <c r="HF181" s="128"/>
      <c r="HG181" s="128"/>
      <c r="HH181" s="128"/>
      <c r="HI181" s="128"/>
      <c r="HJ181" s="128"/>
      <c r="HK181" s="128"/>
      <c r="HL181" s="128"/>
      <c r="HM181" s="128"/>
      <c r="HN181" s="128"/>
      <c r="HO181" s="128"/>
      <c r="HP181" s="128"/>
      <c r="HQ181" s="128"/>
      <c r="HR181" s="128"/>
      <c r="HS181" s="128"/>
    </row>
    <row r="182" spans="1:227" ht="11.25">
      <c r="A182" s="85" t="s">
        <v>426</v>
      </c>
      <c r="B182" s="15"/>
      <c r="C182" s="15"/>
      <c r="D182" s="98" t="s">
        <v>14</v>
      </c>
      <c r="H182" s="140"/>
      <c r="I182" s="140"/>
      <c r="J182" s="182"/>
      <c r="K182" s="143"/>
      <c r="L182" s="143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GW182" s="128"/>
      <c r="GX182" s="128"/>
      <c r="GY182" s="128"/>
      <c r="GZ182" s="128"/>
      <c r="HA182" s="128"/>
      <c r="HB182" s="128"/>
      <c r="HC182" s="128"/>
      <c r="HD182" s="128"/>
      <c r="HE182" s="128"/>
      <c r="HF182" s="128"/>
      <c r="HG182" s="128"/>
      <c r="HH182" s="128"/>
      <c r="HI182" s="128"/>
      <c r="HJ182" s="128"/>
      <c r="HK182" s="128"/>
      <c r="HL182" s="128"/>
      <c r="HM182" s="128"/>
      <c r="HN182" s="128"/>
      <c r="HO182" s="128"/>
      <c r="HP182" s="128"/>
      <c r="HQ182" s="128"/>
      <c r="HR182" s="128"/>
      <c r="HS182" s="128"/>
    </row>
    <row r="183" spans="1:227" ht="11.25">
      <c r="A183" s="85"/>
      <c r="B183" s="15"/>
      <c r="C183" s="15" t="s">
        <v>16</v>
      </c>
      <c r="H183" s="140"/>
      <c r="I183" s="140"/>
      <c r="J183" s="182"/>
      <c r="K183" s="143"/>
      <c r="L183" s="143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GW183" s="128"/>
      <c r="GX183" s="128"/>
      <c r="GY183" s="128"/>
      <c r="GZ183" s="128"/>
      <c r="HA183" s="128"/>
      <c r="HB183" s="128"/>
      <c r="HC183" s="128"/>
      <c r="HD183" s="128"/>
      <c r="HE183" s="128"/>
      <c r="HF183" s="128"/>
      <c r="HG183" s="128"/>
      <c r="HH183" s="128"/>
      <c r="HI183" s="128"/>
      <c r="HJ183" s="128"/>
      <c r="HK183" s="128"/>
      <c r="HL183" s="128"/>
      <c r="HM183" s="128"/>
      <c r="HN183" s="128"/>
      <c r="HO183" s="128"/>
      <c r="HP183" s="128"/>
      <c r="HQ183" s="128"/>
      <c r="HR183" s="128"/>
      <c r="HS183" s="128"/>
    </row>
    <row r="184" spans="1:227" ht="11.25">
      <c r="A184" s="85"/>
      <c r="B184" s="15"/>
      <c r="C184" s="15" t="s">
        <v>10</v>
      </c>
      <c r="H184" s="140"/>
      <c r="I184" s="140"/>
      <c r="J184" s="182"/>
      <c r="K184" s="143"/>
      <c r="L184" s="143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GW184" s="128"/>
      <c r="GX184" s="128"/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</row>
    <row r="185" spans="1:227" ht="22.5">
      <c r="A185" s="85" t="s">
        <v>427</v>
      </c>
      <c r="B185" s="15"/>
      <c r="C185" s="15"/>
      <c r="D185" s="98" t="s">
        <v>17</v>
      </c>
      <c r="H185" s="140"/>
      <c r="I185" s="140"/>
      <c r="J185" s="472" t="s">
        <v>630</v>
      </c>
      <c r="K185" s="143"/>
      <c r="L185" s="143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</row>
    <row r="186" spans="1:227" ht="11.25">
      <c r="A186" s="85" t="s">
        <v>428</v>
      </c>
      <c r="B186" s="15"/>
      <c r="C186" s="15"/>
      <c r="D186" s="98" t="s">
        <v>18</v>
      </c>
      <c r="H186" s="140" t="s">
        <v>249</v>
      </c>
      <c r="I186" s="140"/>
      <c r="J186" s="143"/>
      <c r="K186" s="143"/>
      <c r="L186" s="143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</row>
    <row r="187" spans="1:227" ht="11.25">
      <c r="A187" s="85"/>
      <c r="B187" s="15"/>
      <c r="C187" s="15" t="s">
        <v>15</v>
      </c>
      <c r="H187" s="140"/>
      <c r="I187" s="140"/>
      <c r="J187" s="143"/>
      <c r="K187" s="143"/>
      <c r="L187" s="143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GW187" s="128"/>
      <c r="GX187" s="128"/>
      <c r="GY187" s="128"/>
      <c r="GZ187" s="128"/>
      <c r="HA187" s="128"/>
      <c r="HB187" s="128"/>
      <c r="HC187" s="128"/>
      <c r="HD187" s="128"/>
      <c r="HE187" s="128"/>
      <c r="HF187" s="128"/>
      <c r="HG187" s="128"/>
      <c r="HH187" s="128"/>
      <c r="HI187" s="128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128"/>
    </row>
    <row r="188" spans="1:227" ht="11.25">
      <c r="A188" s="85" t="s">
        <v>429</v>
      </c>
      <c r="B188" s="15"/>
      <c r="C188" s="15"/>
      <c r="D188" s="98" t="s">
        <v>17</v>
      </c>
      <c r="H188" s="140"/>
      <c r="I188" s="140"/>
      <c r="J188" s="143"/>
      <c r="K188" s="143"/>
      <c r="L188" s="143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GW188" s="128"/>
      <c r="GX188" s="128"/>
      <c r="GY188" s="128"/>
      <c r="GZ188" s="128"/>
      <c r="HA188" s="128"/>
      <c r="HB188" s="128"/>
      <c r="HC188" s="128"/>
      <c r="HD188" s="128"/>
      <c r="HE188" s="128"/>
      <c r="HF188" s="128"/>
      <c r="HG188" s="128"/>
      <c r="HH188" s="128"/>
      <c r="HI188" s="128"/>
      <c r="HJ188" s="128"/>
      <c r="HK188" s="128"/>
      <c r="HL188" s="128"/>
      <c r="HM188" s="128"/>
      <c r="HN188" s="128"/>
      <c r="HO188" s="128"/>
      <c r="HP188" s="128"/>
      <c r="HQ188" s="128"/>
      <c r="HR188" s="128"/>
      <c r="HS188" s="128"/>
    </row>
    <row r="189" spans="1:227" ht="11.25">
      <c r="A189" s="85" t="s">
        <v>430</v>
      </c>
      <c r="B189" s="15"/>
      <c r="C189" s="15"/>
      <c r="D189" s="98" t="s">
        <v>19</v>
      </c>
      <c r="H189" s="140"/>
      <c r="I189" s="140"/>
      <c r="J189" s="143"/>
      <c r="K189" s="143"/>
      <c r="L189" s="143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GW189" s="128"/>
      <c r="GX189" s="128"/>
      <c r="GY189" s="128"/>
      <c r="GZ189" s="128"/>
      <c r="HA189" s="128"/>
      <c r="HB189" s="128"/>
      <c r="HC189" s="128"/>
      <c r="HD189" s="128"/>
      <c r="HE189" s="128"/>
      <c r="HF189" s="128"/>
      <c r="HG189" s="128"/>
      <c r="HH189" s="128"/>
      <c r="HI189" s="128"/>
      <c r="HJ189" s="128"/>
      <c r="HK189" s="128"/>
      <c r="HL189" s="128"/>
      <c r="HM189" s="128"/>
      <c r="HN189" s="128"/>
      <c r="HO189" s="128"/>
      <c r="HP189" s="128"/>
      <c r="HQ189" s="128"/>
      <c r="HR189" s="128"/>
      <c r="HS189" s="128"/>
    </row>
    <row r="190" spans="1:227" ht="11.25">
      <c r="A190" s="85"/>
      <c r="B190" s="15"/>
      <c r="C190" s="15" t="s">
        <v>20</v>
      </c>
      <c r="H190" s="140"/>
      <c r="I190" s="140"/>
      <c r="J190" s="143"/>
      <c r="K190" s="143"/>
      <c r="L190" s="143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GW190" s="128"/>
      <c r="GX190" s="128"/>
      <c r="GY190" s="128"/>
      <c r="GZ190" s="128"/>
      <c r="HA190" s="128"/>
      <c r="HB190" s="128"/>
      <c r="HC190" s="128"/>
      <c r="HD190" s="128"/>
      <c r="HE190" s="128"/>
      <c r="HF190" s="128"/>
      <c r="HG190" s="128"/>
      <c r="HH190" s="128"/>
      <c r="HI190" s="128"/>
      <c r="HJ190" s="128"/>
      <c r="HK190" s="128"/>
      <c r="HL190" s="128"/>
      <c r="HM190" s="128"/>
      <c r="HN190" s="128"/>
      <c r="HO190" s="128"/>
      <c r="HP190" s="128"/>
      <c r="HQ190" s="128"/>
      <c r="HR190" s="128"/>
      <c r="HS190" s="128"/>
    </row>
    <row r="191" spans="1:227" ht="11.25">
      <c r="A191" s="85"/>
      <c r="B191" s="15" t="s">
        <v>245</v>
      </c>
      <c r="C191" s="15"/>
      <c r="H191" s="140"/>
      <c r="I191" s="140"/>
      <c r="J191" s="143"/>
      <c r="K191" s="143"/>
      <c r="L191" s="143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GW191" s="128"/>
      <c r="GX191" s="128"/>
      <c r="GY191" s="128"/>
      <c r="GZ191" s="128"/>
      <c r="HA191" s="128"/>
      <c r="HB191" s="128"/>
      <c r="HC191" s="128"/>
      <c r="HD191" s="128"/>
      <c r="HE191" s="128"/>
      <c r="HF191" s="128"/>
      <c r="HG191" s="128"/>
      <c r="HH191" s="128"/>
      <c r="HI191" s="128"/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</row>
    <row r="192" spans="1:227" ht="11.25">
      <c r="A192" s="85"/>
      <c r="H192" s="140"/>
      <c r="I192" s="140"/>
      <c r="J192" s="143"/>
      <c r="K192" s="143"/>
      <c r="L192" s="143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GW192" s="128"/>
      <c r="GX192" s="128"/>
      <c r="GY192" s="128"/>
      <c r="GZ192" s="128"/>
      <c r="HA192" s="128"/>
      <c r="HB192" s="128"/>
      <c r="HC192" s="128"/>
      <c r="HD192" s="128"/>
      <c r="HE192" s="128"/>
      <c r="HF192" s="128"/>
      <c r="HG192" s="128"/>
      <c r="HH192" s="128"/>
      <c r="HI192" s="128"/>
      <c r="HJ192" s="128"/>
      <c r="HK192" s="128"/>
      <c r="HL192" s="128"/>
      <c r="HM192" s="128"/>
      <c r="HN192" s="128"/>
      <c r="HO192" s="128"/>
      <c r="HP192" s="128"/>
      <c r="HQ192" s="128"/>
      <c r="HR192" s="128"/>
      <c r="HS192" s="128"/>
    </row>
    <row r="193" spans="1:227" s="15" customFormat="1" ht="11.25">
      <c r="A193" s="85" t="s">
        <v>29</v>
      </c>
      <c r="B193" s="98" t="s">
        <v>281</v>
      </c>
      <c r="C193" s="98"/>
      <c r="H193" s="147" t="s">
        <v>283</v>
      </c>
      <c r="I193" s="182"/>
      <c r="J193" s="182"/>
      <c r="K193" s="182"/>
      <c r="L193" s="140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</row>
    <row r="194" spans="1:227" ht="13.5" customHeight="1">
      <c r="A194" s="85"/>
      <c r="B194" s="15"/>
      <c r="C194" s="15" t="s">
        <v>31</v>
      </c>
      <c r="H194" s="140"/>
      <c r="I194" s="140"/>
      <c r="J194" s="143"/>
      <c r="K194" s="143"/>
      <c r="L194" s="143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GW194" s="128"/>
      <c r="GX194" s="128"/>
      <c r="GY194" s="128"/>
      <c r="GZ194" s="128"/>
      <c r="HA194" s="128"/>
      <c r="HB194" s="128"/>
      <c r="HC194" s="128"/>
      <c r="HD194" s="128"/>
      <c r="HE194" s="128"/>
      <c r="HF194" s="128"/>
      <c r="HG194" s="128"/>
      <c r="HH194" s="128"/>
      <c r="HI194" s="128"/>
      <c r="HJ194" s="128"/>
      <c r="HK194" s="128"/>
      <c r="HL194" s="128"/>
      <c r="HM194" s="128"/>
      <c r="HN194" s="128"/>
      <c r="HO194" s="128"/>
      <c r="HP194" s="128"/>
      <c r="HQ194" s="128"/>
      <c r="HR194" s="128"/>
      <c r="HS194" s="128"/>
    </row>
    <row r="195" spans="1:227" ht="57">
      <c r="A195" s="85" t="s">
        <v>431</v>
      </c>
      <c r="B195" s="15"/>
      <c r="C195" s="15"/>
      <c r="D195" s="98" t="s">
        <v>177</v>
      </c>
      <c r="H195" s="147" t="s">
        <v>284</v>
      </c>
      <c r="I195" s="182"/>
      <c r="J195" s="162"/>
      <c r="K195" s="162"/>
      <c r="L195" s="162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GW195" s="128"/>
      <c r="GX195" s="128"/>
      <c r="GY195" s="128"/>
      <c r="GZ195" s="128"/>
      <c r="HA195" s="128"/>
      <c r="HB195" s="128"/>
      <c r="HC195" s="128"/>
      <c r="HD195" s="128"/>
      <c r="HE195" s="128"/>
      <c r="HF195" s="128"/>
      <c r="HG195" s="128"/>
      <c r="HH195" s="128"/>
      <c r="HI195" s="128"/>
      <c r="HJ195" s="128"/>
      <c r="HK195" s="128"/>
      <c r="HL195" s="128"/>
      <c r="HM195" s="128"/>
      <c r="HN195" s="128"/>
      <c r="HO195" s="128"/>
      <c r="HP195" s="128"/>
      <c r="HQ195" s="128"/>
      <c r="HR195" s="128"/>
      <c r="HS195" s="128"/>
    </row>
    <row r="196" spans="1:227" ht="11.25">
      <c r="A196" s="85" t="s">
        <v>432</v>
      </c>
      <c r="B196" s="15"/>
      <c r="C196" s="15"/>
      <c r="D196" s="98" t="s">
        <v>178</v>
      </c>
      <c r="H196" s="147"/>
      <c r="I196" s="182"/>
      <c r="J196" s="162"/>
      <c r="K196" s="162"/>
      <c r="L196" s="162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GW196" s="128"/>
      <c r="GX196" s="128"/>
      <c r="GY196" s="128"/>
      <c r="GZ196" s="128"/>
      <c r="HA196" s="128"/>
      <c r="HB196" s="128"/>
      <c r="HC196" s="128"/>
      <c r="HD196" s="128"/>
      <c r="HE196" s="128"/>
      <c r="HF196" s="128"/>
      <c r="HG196" s="128"/>
      <c r="HH196" s="128"/>
      <c r="HI196" s="128"/>
      <c r="HJ196" s="128"/>
      <c r="HK196" s="128"/>
      <c r="HL196" s="128"/>
      <c r="HM196" s="128"/>
      <c r="HN196" s="128"/>
      <c r="HO196" s="128"/>
      <c r="HP196" s="128"/>
      <c r="HQ196" s="128"/>
      <c r="HR196" s="128"/>
      <c r="HS196" s="128"/>
    </row>
    <row r="197" spans="1:227" s="15" customFormat="1" ht="11.25">
      <c r="A197" s="85"/>
      <c r="C197" s="15" t="s">
        <v>10</v>
      </c>
      <c r="H197" s="182" t="s">
        <v>209</v>
      </c>
      <c r="I197" s="182"/>
      <c r="J197" s="182"/>
      <c r="K197" s="182"/>
      <c r="L197" s="140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</row>
    <row r="198" spans="1:227" s="15" customFormat="1" ht="33.75">
      <c r="A198" s="85" t="s">
        <v>433</v>
      </c>
      <c r="D198" s="15" t="s">
        <v>11</v>
      </c>
      <c r="H198" s="147" t="s">
        <v>285</v>
      </c>
      <c r="I198" s="182"/>
      <c r="J198" s="182"/>
      <c r="K198" s="182"/>
      <c r="L198" s="140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</row>
    <row r="199" spans="1:227" s="15" customFormat="1" ht="11.25">
      <c r="A199" s="85" t="s">
        <v>434</v>
      </c>
      <c r="D199" s="15" t="s">
        <v>12</v>
      </c>
      <c r="H199" s="182"/>
      <c r="I199" s="182"/>
      <c r="J199" s="182"/>
      <c r="K199" s="182"/>
      <c r="L199" s="140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</row>
    <row r="200" spans="1:227" s="15" customFormat="1" ht="11.25">
      <c r="A200" s="85" t="s">
        <v>435</v>
      </c>
      <c r="D200" s="15" t="s">
        <v>13</v>
      </c>
      <c r="H200" s="182"/>
      <c r="I200" s="182"/>
      <c r="J200" s="182"/>
      <c r="K200" s="182"/>
      <c r="L200" s="140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</row>
    <row r="201" spans="1:227" s="15" customFormat="1" ht="11.25">
      <c r="A201" s="85" t="s">
        <v>436</v>
      </c>
      <c r="D201" s="15" t="s">
        <v>14</v>
      </c>
      <c r="H201" s="182"/>
      <c r="I201" s="182"/>
      <c r="J201" s="182"/>
      <c r="K201" s="182"/>
      <c r="L201" s="140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</row>
    <row r="202" spans="1:227" s="15" customFormat="1" ht="11.25">
      <c r="A202" s="85"/>
      <c r="C202" s="15" t="s">
        <v>15</v>
      </c>
      <c r="H202" s="182"/>
      <c r="I202" s="182"/>
      <c r="J202" s="182"/>
      <c r="K202" s="182"/>
      <c r="L202" s="140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</row>
    <row r="203" spans="1:227" s="15" customFormat="1" ht="11.25">
      <c r="A203" s="85" t="s">
        <v>437</v>
      </c>
      <c r="D203" s="15" t="s">
        <v>11</v>
      </c>
      <c r="H203" s="182"/>
      <c r="I203" s="182"/>
      <c r="J203" s="182"/>
      <c r="K203" s="182"/>
      <c r="L203" s="140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</row>
    <row r="204" spans="1:227" s="15" customFormat="1" ht="11.25">
      <c r="A204" s="85" t="s">
        <v>438</v>
      </c>
      <c r="D204" s="15" t="s">
        <v>12</v>
      </c>
      <c r="H204" s="182"/>
      <c r="I204" s="182"/>
      <c r="J204" s="182"/>
      <c r="K204" s="182"/>
      <c r="L204" s="140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</row>
    <row r="205" spans="1:227" s="15" customFormat="1" ht="11.25">
      <c r="A205" s="85" t="s">
        <v>439</v>
      </c>
      <c r="D205" s="15" t="s">
        <v>13</v>
      </c>
      <c r="H205" s="182"/>
      <c r="I205" s="182"/>
      <c r="J205" s="182"/>
      <c r="K205" s="182"/>
      <c r="L205" s="140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</row>
    <row r="206" spans="1:227" s="15" customFormat="1" ht="11.25">
      <c r="A206" s="85" t="s">
        <v>440</v>
      </c>
      <c r="D206" s="15" t="s">
        <v>14</v>
      </c>
      <c r="H206" s="182"/>
      <c r="I206" s="182"/>
      <c r="J206" s="182"/>
      <c r="K206" s="182"/>
      <c r="L206" s="140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</row>
    <row r="207" spans="1:227" s="15" customFormat="1" ht="11.25">
      <c r="A207" s="85"/>
      <c r="C207" s="15" t="s">
        <v>16</v>
      </c>
      <c r="H207" s="182"/>
      <c r="I207" s="182"/>
      <c r="J207" s="182"/>
      <c r="K207" s="182"/>
      <c r="L207" s="140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</row>
    <row r="208" spans="1:227" s="15" customFormat="1" ht="11.25">
      <c r="A208" s="85"/>
      <c r="C208" s="15" t="s">
        <v>10</v>
      </c>
      <c r="H208" s="182"/>
      <c r="I208" s="182"/>
      <c r="J208" s="182"/>
      <c r="K208" s="182"/>
      <c r="L208" s="140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</row>
    <row r="209" spans="1:227" s="15" customFormat="1" ht="11.25">
      <c r="A209" s="85" t="s">
        <v>441</v>
      </c>
      <c r="D209" s="15" t="s">
        <v>17</v>
      </c>
      <c r="H209" s="182"/>
      <c r="I209" s="182"/>
      <c r="J209" s="182"/>
      <c r="K209" s="182"/>
      <c r="L209" s="140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</row>
    <row r="210" spans="1:227" s="15" customFormat="1" ht="45">
      <c r="A210" s="85" t="s">
        <v>442</v>
      </c>
      <c r="D210" s="15" t="s">
        <v>18</v>
      </c>
      <c r="H210" s="182"/>
      <c r="I210" s="182"/>
      <c r="J210" s="472" t="s">
        <v>637</v>
      </c>
      <c r="K210" s="182"/>
      <c r="L210" s="140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</row>
    <row r="211" spans="1:227" s="15" customFormat="1" ht="11.25">
      <c r="A211" s="85"/>
      <c r="C211" s="15" t="s">
        <v>15</v>
      </c>
      <c r="H211" s="182"/>
      <c r="I211" s="182"/>
      <c r="J211" s="182"/>
      <c r="K211" s="182"/>
      <c r="L211" s="140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</row>
    <row r="212" spans="1:227" s="15" customFormat="1" ht="11.25">
      <c r="A212" s="85" t="s">
        <v>443</v>
      </c>
      <c r="D212" s="15" t="s">
        <v>17</v>
      </c>
      <c r="H212" s="182"/>
      <c r="I212" s="182"/>
      <c r="J212" s="182"/>
      <c r="K212" s="182"/>
      <c r="L212" s="140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</row>
    <row r="213" spans="1:227" s="15" customFormat="1" ht="11.25">
      <c r="A213" s="85" t="s">
        <v>444</v>
      </c>
      <c r="D213" s="15" t="s">
        <v>19</v>
      </c>
      <c r="H213" s="140"/>
      <c r="I213" s="182"/>
      <c r="J213" s="182"/>
      <c r="K213" s="182"/>
      <c r="L213" s="140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</row>
    <row r="214" spans="1:227" s="15" customFormat="1" ht="11.25">
      <c r="A214" s="85"/>
      <c r="C214" s="15" t="s">
        <v>20</v>
      </c>
      <c r="H214" s="182"/>
      <c r="I214" s="182"/>
      <c r="J214" s="182"/>
      <c r="K214" s="182"/>
      <c r="L214" s="140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</row>
    <row r="215" spans="1:227" s="15" customFormat="1" ht="11.25">
      <c r="A215" s="85"/>
      <c r="B215" s="15" t="s">
        <v>282</v>
      </c>
      <c r="H215" s="182"/>
      <c r="I215" s="182"/>
      <c r="J215" s="182"/>
      <c r="K215" s="182"/>
      <c r="L215" s="140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</row>
    <row r="216" spans="1:227" s="15" customFormat="1" ht="11.25">
      <c r="A216" s="85"/>
      <c r="H216" s="182"/>
      <c r="I216" s="182"/>
      <c r="J216" s="182"/>
      <c r="K216" s="182"/>
      <c r="L216" s="140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</row>
    <row r="217" spans="1:227" s="15" customFormat="1" ht="11.25">
      <c r="A217" s="85" t="s">
        <v>30</v>
      </c>
      <c r="B217" s="98" t="s">
        <v>341</v>
      </c>
      <c r="C217" s="98"/>
      <c r="H217" s="147" t="s">
        <v>344</v>
      </c>
      <c r="I217" s="182"/>
      <c r="J217" s="182"/>
      <c r="K217" s="182"/>
      <c r="L217" s="140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</row>
    <row r="218" spans="1:227" s="15" customFormat="1" ht="11.25">
      <c r="A218" s="85" t="s">
        <v>445</v>
      </c>
      <c r="B218" s="98"/>
      <c r="C218" s="98" t="s">
        <v>343</v>
      </c>
      <c r="H218" s="147" t="s">
        <v>345</v>
      </c>
      <c r="I218" s="182"/>
      <c r="J218" s="182"/>
      <c r="K218" s="182"/>
      <c r="L218" s="140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  <c r="HM218" s="51"/>
      <c r="HN218" s="51"/>
      <c r="HO218" s="51"/>
      <c r="HP218" s="51"/>
      <c r="HQ218" s="51"/>
      <c r="HR218" s="51"/>
      <c r="HS218" s="51"/>
    </row>
    <row r="219" spans="1:227" s="15" customFormat="1" ht="11.25">
      <c r="A219" s="85"/>
      <c r="C219" s="15" t="s">
        <v>10</v>
      </c>
      <c r="H219" s="147" t="s">
        <v>209</v>
      </c>
      <c r="I219" s="182"/>
      <c r="J219" s="182"/>
      <c r="K219" s="182"/>
      <c r="L219" s="140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  <c r="HM219" s="51"/>
      <c r="HN219" s="51"/>
      <c r="HO219" s="51"/>
      <c r="HP219" s="51"/>
      <c r="HQ219" s="51"/>
      <c r="HR219" s="51"/>
      <c r="HS219" s="51"/>
    </row>
    <row r="220" spans="1:227" s="15" customFormat="1" ht="45">
      <c r="A220" s="85" t="s">
        <v>446</v>
      </c>
      <c r="D220" s="15" t="s">
        <v>11</v>
      </c>
      <c r="H220" s="147" t="s">
        <v>346</v>
      </c>
      <c r="I220" s="182"/>
      <c r="J220" s="182"/>
      <c r="K220" s="182"/>
      <c r="L220" s="140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</row>
    <row r="221" spans="1:227" s="15" customFormat="1" ht="11.25">
      <c r="A221" s="85" t="s">
        <v>447</v>
      </c>
      <c r="D221" s="15" t="s">
        <v>12</v>
      </c>
      <c r="H221" s="182"/>
      <c r="I221" s="182"/>
      <c r="J221" s="182"/>
      <c r="K221" s="182"/>
      <c r="L221" s="140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</row>
    <row r="222" spans="1:227" s="15" customFormat="1" ht="11.25">
      <c r="A222" s="85" t="s">
        <v>448</v>
      </c>
      <c r="D222" s="15" t="s">
        <v>13</v>
      </c>
      <c r="H222" s="182"/>
      <c r="I222" s="182"/>
      <c r="J222" s="182"/>
      <c r="K222" s="182"/>
      <c r="L222" s="140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</row>
    <row r="223" spans="1:227" s="15" customFormat="1" ht="11.25">
      <c r="A223" s="85" t="s">
        <v>449</v>
      </c>
      <c r="D223" s="15" t="s">
        <v>14</v>
      </c>
      <c r="H223" s="182"/>
      <c r="I223" s="182"/>
      <c r="J223" s="182"/>
      <c r="K223" s="182"/>
      <c r="L223" s="140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  <c r="HM223" s="51"/>
      <c r="HN223" s="51"/>
      <c r="HO223" s="51"/>
      <c r="HP223" s="51"/>
      <c r="HQ223" s="51"/>
      <c r="HR223" s="51"/>
      <c r="HS223" s="51"/>
    </row>
    <row r="224" spans="1:227" s="15" customFormat="1" ht="11.25">
      <c r="A224" s="85"/>
      <c r="C224" s="15" t="s">
        <v>15</v>
      </c>
      <c r="H224" s="182"/>
      <c r="I224" s="182"/>
      <c r="J224" s="182"/>
      <c r="K224" s="182"/>
      <c r="L224" s="140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</row>
    <row r="225" spans="1:227" s="15" customFormat="1" ht="11.25">
      <c r="A225" s="85" t="s">
        <v>450</v>
      </c>
      <c r="D225" s="15" t="s">
        <v>11</v>
      </c>
      <c r="H225" s="182"/>
      <c r="I225" s="182"/>
      <c r="J225" s="182"/>
      <c r="K225" s="182"/>
      <c r="L225" s="140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</row>
    <row r="226" spans="1:227" s="15" customFormat="1" ht="11.25">
      <c r="A226" s="85" t="s">
        <v>451</v>
      </c>
      <c r="D226" s="15" t="s">
        <v>12</v>
      </c>
      <c r="H226" s="182"/>
      <c r="I226" s="182"/>
      <c r="J226" s="182"/>
      <c r="K226" s="182"/>
      <c r="L226" s="140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</row>
    <row r="227" spans="1:227" s="15" customFormat="1" ht="11.25">
      <c r="A227" s="85" t="s">
        <v>452</v>
      </c>
      <c r="D227" s="15" t="s">
        <v>13</v>
      </c>
      <c r="H227" s="182"/>
      <c r="I227" s="182"/>
      <c r="J227" s="182"/>
      <c r="K227" s="182"/>
      <c r="L227" s="140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  <c r="HM227" s="51"/>
      <c r="HN227" s="51"/>
      <c r="HO227" s="51"/>
      <c r="HP227" s="51"/>
      <c r="HQ227" s="51"/>
      <c r="HR227" s="51"/>
      <c r="HS227" s="51"/>
    </row>
    <row r="228" spans="1:227" s="15" customFormat="1" ht="11.25">
      <c r="A228" s="85" t="s">
        <v>453</v>
      </c>
      <c r="D228" s="15" t="s">
        <v>14</v>
      </c>
      <c r="H228" s="182"/>
      <c r="I228" s="182"/>
      <c r="J228" s="182"/>
      <c r="K228" s="182"/>
      <c r="L228" s="140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128"/>
      <c r="CB228" s="128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</row>
    <row r="229" spans="1:227" s="15" customFormat="1" ht="11.25">
      <c r="A229" s="85"/>
      <c r="C229" s="15" t="s">
        <v>16</v>
      </c>
      <c r="H229" s="182"/>
      <c r="I229" s="182"/>
      <c r="J229" s="182"/>
      <c r="K229" s="182"/>
      <c r="L229" s="140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  <c r="HM229" s="51"/>
      <c r="HN229" s="51"/>
      <c r="HO229" s="51"/>
      <c r="HP229" s="51"/>
      <c r="HQ229" s="51"/>
      <c r="HR229" s="51"/>
      <c r="HS229" s="51"/>
    </row>
    <row r="230" spans="1:227" s="15" customFormat="1" ht="11.25">
      <c r="A230" s="85"/>
      <c r="C230" s="15" t="s">
        <v>10</v>
      </c>
      <c r="H230" s="182"/>
      <c r="I230" s="182"/>
      <c r="J230" s="182"/>
      <c r="K230" s="182"/>
      <c r="L230" s="140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  <c r="HM230" s="51"/>
      <c r="HN230" s="51"/>
      <c r="HO230" s="51"/>
      <c r="HP230" s="51"/>
      <c r="HQ230" s="51"/>
      <c r="HR230" s="51"/>
      <c r="HS230" s="51"/>
    </row>
    <row r="231" spans="1:227" s="15" customFormat="1" ht="11.25">
      <c r="A231" s="85" t="s">
        <v>454</v>
      </c>
      <c r="D231" s="15" t="s">
        <v>17</v>
      </c>
      <c r="H231" s="182"/>
      <c r="I231" s="182"/>
      <c r="J231" s="182"/>
      <c r="K231" s="182"/>
      <c r="L231" s="140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</row>
    <row r="232" spans="1:227" s="15" customFormat="1" ht="33.75">
      <c r="A232" s="85" t="s">
        <v>455</v>
      </c>
      <c r="D232" s="15" t="s">
        <v>18</v>
      </c>
      <c r="H232" s="147" t="s">
        <v>347</v>
      </c>
      <c r="I232" s="182"/>
      <c r="J232" s="472" t="s">
        <v>630</v>
      </c>
      <c r="K232" s="182"/>
      <c r="L232" s="140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  <c r="HM232" s="51"/>
      <c r="HN232" s="51"/>
      <c r="HO232" s="51"/>
      <c r="HP232" s="51"/>
      <c r="HQ232" s="51"/>
      <c r="HR232" s="51"/>
      <c r="HS232" s="51"/>
    </row>
    <row r="233" spans="1:227" s="15" customFormat="1" ht="11.25">
      <c r="A233" s="85"/>
      <c r="C233" s="15" t="s">
        <v>15</v>
      </c>
      <c r="H233" s="182"/>
      <c r="I233" s="182"/>
      <c r="J233" s="182"/>
      <c r="K233" s="182"/>
      <c r="L233" s="140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  <c r="HM233" s="51"/>
      <c r="HN233" s="51"/>
      <c r="HO233" s="51"/>
      <c r="HP233" s="51"/>
      <c r="HQ233" s="51"/>
      <c r="HR233" s="51"/>
      <c r="HS233" s="51"/>
    </row>
    <row r="234" spans="1:227" s="15" customFormat="1" ht="11.25">
      <c r="A234" s="85" t="s">
        <v>456</v>
      </c>
      <c r="D234" s="15" t="s">
        <v>17</v>
      </c>
      <c r="H234" s="182"/>
      <c r="I234" s="182"/>
      <c r="J234" s="182"/>
      <c r="K234" s="182"/>
      <c r="L234" s="140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  <c r="HM234" s="51"/>
      <c r="HN234" s="51"/>
      <c r="HO234" s="51"/>
      <c r="HP234" s="51"/>
      <c r="HQ234" s="51"/>
      <c r="HR234" s="51"/>
      <c r="HS234" s="51"/>
    </row>
    <row r="235" spans="1:227" s="15" customFormat="1" ht="11.25">
      <c r="A235" s="85" t="s">
        <v>457</v>
      </c>
      <c r="D235" s="15" t="s">
        <v>19</v>
      </c>
      <c r="E235" s="98"/>
      <c r="F235" s="98"/>
      <c r="G235" s="98"/>
      <c r="H235" s="140"/>
      <c r="I235" s="182"/>
      <c r="J235" s="182"/>
      <c r="K235" s="182"/>
      <c r="L235" s="140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  <c r="HM235" s="51"/>
      <c r="HN235" s="51"/>
      <c r="HO235" s="51"/>
      <c r="HP235" s="51"/>
      <c r="HQ235" s="51"/>
      <c r="HR235" s="51"/>
      <c r="HS235" s="51"/>
    </row>
    <row r="236" spans="1:227" s="15" customFormat="1" ht="11.25">
      <c r="A236" s="85"/>
      <c r="C236" s="15" t="s">
        <v>20</v>
      </c>
      <c r="E236" s="98"/>
      <c r="F236" s="98"/>
      <c r="G236" s="98"/>
      <c r="H236" s="182"/>
      <c r="I236" s="182"/>
      <c r="J236" s="182"/>
      <c r="K236" s="182"/>
      <c r="L236" s="140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  <c r="HM236" s="51"/>
      <c r="HN236" s="51"/>
      <c r="HO236" s="51"/>
      <c r="HP236" s="51"/>
      <c r="HQ236" s="51"/>
      <c r="HR236" s="51"/>
      <c r="HS236" s="51"/>
    </row>
    <row r="237" spans="1:227" s="15" customFormat="1" ht="11.25">
      <c r="A237" s="85"/>
      <c r="B237" s="15" t="s">
        <v>342</v>
      </c>
      <c r="E237" s="98"/>
      <c r="F237" s="98"/>
      <c r="G237" s="98"/>
      <c r="H237" s="182"/>
      <c r="I237" s="182"/>
      <c r="J237" s="182"/>
      <c r="K237" s="182"/>
      <c r="L237" s="140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  <c r="HM237" s="51"/>
      <c r="HN237" s="51"/>
      <c r="HO237" s="51"/>
      <c r="HP237" s="51"/>
      <c r="HQ237" s="51"/>
      <c r="HR237" s="51"/>
      <c r="HS237" s="51"/>
    </row>
    <row r="238" spans="1:227" s="15" customFormat="1" ht="11.25">
      <c r="A238" s="85"/>
      <c r="E238" s="98"/>
      <c r="F238" s="98"/>
      <c r="G238" s="98"/>
      <c r="H238" s="182"/>
      <c r="I238" s="182"/>
      <c r="J238" s="182"/>
      <c r="K238" s="182"/>
      <c r="L238" s="140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</row>
    <row r="239" spans="1:227" ht="11.25">
      <c r="A239" s="85" t="s">
        <v>75</v>
      </c>
      <c r="B239" s="15" t="s">
        <v>206</v>
      </c>
      <c r="C239" s="15"/>
      <c r="H239" s="147" t="s">
        <v>217</v>
      </c>
      <c r="I239" s="140"/>
      <c r="J239" s="143"/>
      <c r="K239" s="143"/>
      <c r="L239" s="143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28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  <c r="EC239" s="128"/>
      <c r="ED239" s="128"/>
      <c r="EE239" s="128"/>
      <c r="EF239" s="128"/>
      <c r="EG239" s="128"/>
      <c r="EH239" s="128"/>
      <c r="EI239" s="128"/>
      <c r="EJ239" s="128"/>
      <c r="EK239" s="128"/>
      <c r="EL239" s="128"/>
      <c r="EM239" s="128"/>
      <c r="EN239" s="128"/>
      <c r="EO239" s="128"/>
      <c r="EP239" s="128"/>
      <c r="EQ239" s="128"/>
      <c r="ER239" s="128"/>
      <c r="ES239" s="128"/>
      <c r="ET239" s="128"/>
      <c r="EU239" s="128"/>
      <c r="EV239" s="128"/>
      <c r="EW239" s="128"/>
      <c r="EX239" s="128"/>
      <c r="EY239" s="128"/>
      <c r="EZ239" s="128"/>
      <c r="FA239" s="128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GW239" s="128"/>
      <c r="GX239" s="128"/>
      <c r="GY239" s="128"/>
      <c r="GZ239" s="128"/>
      <c r="HA239" s="128"/>
      <c r="HB239" s="128"/>
      <c r="HC239" s="128"/>
      <c r="HD239" s="128"/>
      <c r="HE239" s="128"/>
      <c r="HF239" s="128"/>
      <c r="HG239" s="128"/>
      <c r="HH239" s="128"/>
      <c r="HI239" s="128"/>
      <c r="HJ239" s="128"/>
      <c r="HK239" s="128"/>
      <c r="HL239" s="128"/>
      <c r="HM239" s="128"/>
      <c r="HN239" s="128"/>
      <c r="HO239" s="128"/>
      <c r="HP239" s="128"/>
      <c r="HQ239" s="128"/>
      <c r="HR239" s="128"/>
      <c r="HS239" s="128"/>
    </row>
    <row r="240" spans="1:227" ht="13.5" customHeight="1">
      <c r="A240" s="85"/>
      <c r="B240" s="15"/>
      <c r="C240" s="15" t="s">
        <v>31</v>
      </c>
      <c r="H240" s="140"/>
      <c r="I240" s="140"/>
      <c r="J240" s="143"/>
      <c r="K240" s="143"/>
      <c r="L240" s="143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128"/>
      <c r="EY240" s="128"/>
      <c r="EZ240" s="128"/>
      <c r="FA240" s="128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GW240" s="128"/>
      <c r="GX240" s="128"/>
      <c r="GY240" s="128"/>
      <c r="GZ240" s="128"/>
      <c r="HA240" s="128"/>
      <c r="HB240" s="128"/>
      <c r="HC240" s="128"/>
      <c r="HD240" s="128"/>
      <c r="HE240" s="128"/>
      <c r="HF240" s="128"/>
      <c r="HG240" s="128"/>
      <c r="HH240" s="128"/>
      <c r="HI240" s="128"/>
      <c r="HJ240" s="128"/>
      <c r="HK240" s="128"/>
      <c r="HL240" s="128"/>
      <c r="HM240" s="128"/>
      <c r="HN240" s="128"/>
      <c r="HO240" s="128"/>
      <c r="HP240" s="128"/>
      <c r="HQ240" s="128"/>
      <c r="HR240" s="128"/>
      <c r="HS240" s="128"/>
    </row>
    <row r="241" spans="1:227" ht="45">
      <c r="A241" s="85" t="s">
        <v>129</v>
      </c>
      <c r="B241" s="15"/>
      <c r="C241" s="15"/>
      <c r="D241" s="98" t="s">
        <v>177</v>
      </c>
      <c r="H241" s="147" t="s">
        <v>622</v>
      </c>
      <c r="I241" s="182"/>
      <c r="J241" s="162"/>
      <c r="K241" s="162"/>
      <c r="L241" s="162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GW241" s="128"/>
      <c r="GX241" s="128"/>
      <c r="GY241" s="128"/>
      <c r="GZ241" s="128"/>
      <c r="HA241" s="128"/>
      <c r="HB241" s="128"/>
      <c r="HC241" s="128"/>
      <c r="HD241" s="128"/>
      <c r="HE241" s="128"/>
      <c r="HF241" s="128"/>
      <c r="HG241" s="128"/>
      <c r="HH241" s="128"/>
      <c r="HI241" s="128"/>
      <c r="HJ241" s="128"/>
      <c r="HK241" s="128"/>
      <c r="HL241" s="128"/>
      <c r="HM241" s="128"/>
      <c r="HN241" s="128"/>
      <c r="HO241" s="128"/>
      <c r="HP241" s="128"/>
      <c r="HQ241" s="128"/>
      <c r="HR241" s="128"/>
      <c r="HS241" s="128"/>
    </row>
    <row r="242" spans="1:227" ht="11.25">
      <c r="A242" s="85" t="s">
        <v>130</v>
      </c>
      <c r="B242" s="15"/>
      <c r="C242" s="15"/>
      <c r="D242" s="98" t="s">
        <v>178</v>
      </c>
      <c r="H242" s="147"/>
      <c r="I242" s="182"/>
      <c r="J242" s="162"/>
      <c r="K242" s="162"/>
      <c r="L242" s="162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GW242" s="128"/>
      <c r="GX242" s="128"/>
      <c r="GY242" s="128"/>
      <c r="GZ242" s="128"/>
      <c r="HA242" s="128"/>
      <c r="HB242" s="128"/>
      <c r="HC242" s="128"/>
      <c r="HD242" s="128"/>
      <c r="HE242" s="128"/>
      <c r="HF242" s="128"/>
      <c r="HG242" s="128"/>
      <c r="HH242" s="128"/>
      <c r="HI242" s="128"/>
      <c r="HJ242" s="128"/>
      <c r="HK242" s="128"/>
      <c r="HL242" s="128"/>
      <c r="HM242" s="128"/>
      <c r="HN242" s="128"/>
      <c r="HO242" s="128"/>
      <c r="HP242" s="128"/>
      <c r="HQ242" s="128"/>
      <c r="HR242" s="128"/>
      <c r="HS242" s="128"/>
    </row>
    <row r="243" spans="1:227" ht="18" customHeight="1">
      <c r="A243" s="85"/>
      <c r="B243" s="15"/>
      <c r="C243" s="15" t="s">
        <v>10</v>
      </c>
      <c r="H243" s="147" t="s">
        <v>209</v>
      </c>
      <c r="I243" s="140"/>
      <c r="J243" s="143"/>
      <c r="K243" s="143"/>
      <c r="L243" s="143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</row>
    <row r="244" spans="1:227" ht="33.75">
      <c r="A244" s="85" t="s">
        <v>131</v>
      </c>
      <c r="B244" s="15"/>
      <c r="C244" s="15"/>
      <c r="D244" s="98" t="s">
        <v>11</v>
      </c>
      <c r="H244" s="147" t="s">
        <v>210</v>
      </c>
      <c r="I244" s="140"/>
      <c r="J244" s="143"/>
      <c r="K244" s="143"/>
      <c r="L244" s="143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8"/>
      <c r="EQ244" s="128"/>
      <c r="ER244" s="128"/>
      <c r="ES244" s="128"/>
      <c r="ET244" s="128"/>
      <c r="EU244" s="128"/>
      <c r="EV244" s="128"/>
      <c r="EW244" s="128"/>
      <c r="EX244" s="128"/>
      <c r="EY244" s="128"/>
      <c r="EZ244" s="128"/>
      <c r="FA244" s="128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GW244" s="128"/>
      <c r="GX244" s="128"/>
      <c r="GY244" s="128"/>
      <c r="GZ244" s="128"/>
      <c r="HA244" s="128"/>
      <c r="HB244" s="128"/>
      <c r="HC244" s="128"/>
      <c r="HD244" s="128"/>
      <c r="HE244" s="128"/>
      <c r="HF244" s="128"/>
      <c r="HG244" s="128"/>
      <c r="HH244" s="128"/>
      <c r="HI244" s="128"/>
      <c r="HJ244" s="128"/>
      <c r="HK244" s="128"/>
      <c r="HL244" s="128"/>
      <c r="HM244" s="128"/>
      <c r="HN244" s="128"/>
      <c r="HO244" s="128"/>
      <c r="HP244" s="128"/>
      <c r="HQ244" s="128"/>
      <c r="HR244" s="128"/>
      <c r="HS244" s="128"/>
    </row>
    <row r="245" spans="1:227" ht="11.25">
      <c r="A245" s="85" t="s">
        <v>132</v>
      </c>
      <c r="B245" s="15"/>
      <c r="C245" s="15"/>
      <c r="D245" s="98" t="s">
        <v>12</v>
      </c>
      <c r="H245" s="147"/>
      <c r="I245" s="140"/>
      <c r="J245" s="143"/>
      <c r="K245" s="143"/>
      <c r="L245" s="143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28"/>
      <c r="ES245" s="128"/>
      <c r="ET245" s="128"/>
      <c r="EU245" s="128"/>
      <c r="EV245" s="128"/>
      <c r="EW245" s="128"/>
      <c r="EX245" s="128"/>
      <c r="EY245" s="128"/>
      <c r="EZ245" s="128"/>
      <c r="FA245" s="128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GW245" s="128"/>
      <c r="GX245" s="128"/>
      <c r="GY245" s="128"/>
      <c r="GZ245" s="128"/>
      <c r="HA245" s="128"/>
      <c r="HB245" s="128"/>
      <c r="HC245" s="128"/>
      <c r="HD245" s="128"/>
      <c r="HE245" s="128"/>
      <c r="HF245" s="128"/>
      <c r="HG245" s="128"/>
      <c r="HH245" s="128"/>
      <c r="HI245" s="128"/>
      <c r="HJ245" s="128"/>
      <c r="HK245" s="128"/>
      <c r="HL245" s="128"/>
      <c r="HM245" s="128"/>
      <c r="HN245" s="128"/>
      <c r="HO245" s="128"/>
      <c r="HP245" s="128"/>
      <c r="HQ245" s="128"/>
      <c r="HR245" s="128"/>
      <c r="HS245" s="128"/>
    </row>
    <row r="246" spans="1:227" ht="11.25">
      <c r="A246" s="85" t="s">
        <v>458</v>
      </c>
      <c r="B246" s="15"/>
      <c r="C246" s="15"/>
      <c r="D246" s="98" t="s">
        <v>13</v>
      </c>
      <c r="H246" s="147"/>
      <c r="I246" s="140"/>
      <c r="J246" s="143"/>
      <c r="K246" s="143"/>
      <c r="L246" s="143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8"/>
      <c r="EQ246" s="128"/>
      <c r="ER246" s="128"/>
      <c r="ES246" s="128"/>
      <c r="ET246" s="128"/>
      <c r="EU246" s="128"/>
      <c r="EV246" s="128"/>
      <c r="EW246" s="128"/>
      <c r="EX246" s="128"/>
      <c r="EY246" s="128"/>
      <c r="EZ246" s="128"/>
      <c r="FA246" s="128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GW246" s="128"/>
      <c r="GX246" s="128"/>
      <c r="GY246" s="128"/>
      <c r="GZ246" s="128"/>
      <c r="HA246" s="128"/>
      <c r="HB246" s="128"/>
      <c r="HC246" s="128"/>
      <c r="HD246" s="128"/>
      <c r="HE246" s="128"/>
      <c r="HF246" s="128"/>
      <c r="HG246" s="128"/>
      <c r="HH246" s="128"/>
      <c r="HI246" s="128"/>
      <c r="HJ246" s="128"/>
      <c r="HK246" s="128"/>
      <c r="HL246" s="128"/>
      <c r="HM246" s="128"/>
      <c r="HN246" s="128"/>
      <c r="HO246" s="128"/>
      <c r="HP246" s="128"/>
      <c r="HQ246" s="128"/>
      <c r="HR246" s="128"/>
      <c r="HS246" s="128"/>
    </row>
    <row r="247" spans="1:227" ht="33.75">
      <c r="A247" s="85" t="s">
        <v>459</v>
      </c>
      <c r="B247" s="15"/>
      <c r="C247" s="15"/>
      <c r="D247" s="98" t="s">
        <v>14</v>
      </c>
      <c r="H247" s="147" t="s">
        <v>211</v>
      </c>
      <c r="I247" s="140"/>
      <c r="J247" s="472" t="s">
        <v>629</v>
      </c>
      <c r="K247" s="143"/>
      <c r="L247" s="143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128"/>
      <c r="EY247" s="128"/>
      <c r="EZ247" s="128"/>
      <c r="FA247" s="128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GW247" s="128"/>
      <c r="GX247" s="128"/>
      <c r="GY247" s="128"/>
      <c r="GZ247" s="128"/>
      <c r="HA247" s="128"/>
      <c r="HB247" s="128"/>
      <c r="HC247" s="128"/>
      <c r="HD247" s="128"/>
      <c r="HE247" s="128"/>
      <c r="HF247" s="128"/>
      <c r="HG247" s="128"/>
      <c r="HH247" s="128"/>
      <c r="HI247" s="128"/>
      <c r="HJ247" s="128"/>
      <c r="HK247" s="128"/>
      <c r="HL247" s="128"/>
      <c r="HM247" s="128"/>
      <c r="HN247" s="128"/>
      <c r="HO247" s="128"/>
      <c r="HP247" s="128"/>
      <c r="HQ247" s="128"/>
      <c r="HR247" s="128"/>
      <c r="HS247" s="128"/>
    </row>
    <row r="248" spans="1:227" ht="11.25">
      <c r="A248" s="85"/>
      <c r="B248" s="15"/>
      <c r="C248" s="15" t="s">
        <v>15</v>
      </c>
      <c r="H248" s="147"/>
      <c r="I248" s="140"/>
      <c r="J248" s="143"/>
      <c r="K248" s="143"/>
      <c r="L248" s="143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8"/>
      <c r="EQ248" s="128"/>
      <c r="ER248" s="128"/>
      <c r="ES248" s="128"/>
      <c r="ET248" s="128"/>
      <c r="EU248" s="128"/>
      <c r="EV248" s="128"/>
      <c r="EW248" s="128"/>
      <c r="EX248" s="128"/>
      <c r="EY248" s="128"/>
      <c r="EZ248" s="128"/>
      <c r="FA248" s="128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GW248" s="128"/>
      <c r="GX248" s="128"/>
      <c r="GY248" s="128"/>
      <c r="GZ248" s="128"/>
      <c r="HA248" s="128"/>
      <c r="HB248" s="128"/>
      <c r="HC248" s="128"/>
      <c r="HD248" s="128"/>
      <c r="HE248" s="128"/>
      <c r="HF248" s="128"/>
      <c r="HG248" s="128"/>
      <c r="HH248" s="128"/>
      <c r="HI248" s="128"/>
      <c r="HJ248" s="128"/>
      <c r="HK248" s="128"/>
      <c r="HL248" s="128"/>
      <c r="HM248" s="128"/>
      <c r="HN248" s="128"/>
      <c r="HO248" s="128"/>
      <c r="HP248" s="128"/>
      <c r="HQ248" s="128"/>
      <c r="HR248" s="128"/>
      <c r="HS248" s="128"/>
    </row>
    <row r="249" spans="1:227" ht="11.25">
      <c r="A249" s="85" t="s">
        <v>460</v>
      </c>
      <c r="B249" s="15"/>
      <c r="C249" s="15"/>
      <c r="D249" s="98" t="s">
        <v>11</v>
      </c>
      <c r="H249" s="147"/>
      <c r="I249" s="140"/>
      <c r="J249" s="143"/>
      <c r="K249" s="143"/>
      <c r="L249" s="143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  <c r="EC249" s="128"/>
      <c r="ED249" s="128"/>
      <c r="EE249" s="128"/>
      <c r="EF249" s="128"/>
      <c r="EG249" s="128"/>
      <c r="EH249" s="128"/>
      <c r="EI249" s="128"/>
      <c r="EJ249" s="128"/>
      <c r="EK249" s="128"/>
      <c r="EL249" s="128"/>
      <c r="EM249" s="128"/>
      <c r="EN249" s="128"/>
      <c r="EO249" s="128"/>
      <c r="EP249" s="128"/>
      <c r="EQ249" s="128"/>
      <c r="ER249" s="128"/>
      <c r="ES249" s="128"/>
      <c r="ET249" s="128"/>
      <c r="EU249" s="128"/>
      <c r="EV249" s="128"/>
      <c r="EW249" s="128"/>
      <c r="EX249" s="128"/>
      <c r="EY249" s="128"/>
      <c r="EZ249" s="128"/>
      <c r="FA249" s="128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GW249" s="128"/>
      <c r="GX249" s="128"/>
      <c r="GY249" s="128"/>
      <c r="GZ249" s="128"/>
      <c r="HA249" s="128"/>
      <c r="HB249" s="128"/>
      <c r="HC249" s="128"/>
      <c r="HD249" s="128"/>
      <c r="HE249" s="128"/>
      <c r="HF249" s="128"/>
      <c r="HG249" s="128"/>
      <c r="HH249" s="128"/>
      <c r="HI249" s="128"/>
      <c r="HJ249" s="128"/>
      <c r="HK249" s="128"/>
      <c r="HL249" s="128"/>
      <c r="HM249" s="128"/>
      <c r="HN249" s="128"/>
      <c r="HO249" s="128"/>
      <c r="HP249" s="128"/>
      <c r="HQ249" s="128"/>
      <c r="HR249" s="128"/>
      <c r="HS249" s="128"/>
    </row>
    <row r="250" spans="1:227" ht="11.25">
      <c r="A250" s="85" t="s">
        <v>461</v>
      </c>
      <c r="B250" s="15"/>
      <c r="C250" s="15"/>
      <c r="D250" s="98" t="s">
        <v>12</v>
      </c>
      <c r="H250" s="147"/>
      <c r="I250" s="140"/>
      <c r="J250" s="143"/>
      <c r="K250" s="143"/>
      <c r="L250" s="143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128"/>
      <c r="EY250" s="128"/>
      <c r="EZ250" s="128"/>
      <c r="FA250" s="128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GW250" s="128"/>
      <c r="GX250" s="128"/>
      <c r="GY250" s="128"/>
      <c r="GZ250" s="128"/>
      <c r="HA250" s="128"/>
      <c r="HB250" s="128"/>
      <c r="HC250" s="128"/>
      <c r="HD250" s="128"/>
      <c r="HE250" s="128"/>
      <c r="HF250" s="128"/>
      <c r="HG250" s="128"/>
      <c r="HH250" s="128"/>
      <c r="HI250" s="128"/>
      <c r="HJ250" s="128"/>
      <c r="HK250" s="128"/>
      <c r="HL250" s="128"/>
      <c r="HM250" s="128"/>
      <c r="HN250" s="128"/>
      <c r="HO250" s="128"/>
      <c r="HP250" s="128"/>
      <c r="HQ250" s="128"/>
      <c r="HR250" s="128"/>
      <c r="HS250" s="128"/>
    </row>
    <row r="251" spans="1:227" ht="11.25">
      <c r="A251" s="85" t="s">
        <v>462</v>
      </c>
      <c r="B251" s="15"/>
      <c r="C251" s="15"/>
      <c r="D251" s="98" t="s">
        <v>13</v>
      </c>
      <c r="H251" s="147"/>
      <c r="I251" s="140"/>
      <c r="J251" s="143"/>
      <c r="K251" s="143"/>
      <c r="L251" s="143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GW251" s="128"/>
      <c r="GX251" s="128"/>
      <c r="GY251" s="128"/>
      <c r="GZ251" s="128"/>
      <c r="HA251" s="128"/>
      <c r="HB251" s="128"/>
      <c r="HC251" s="128"/>
      <c r="HD251" s="128"/>
      <c r="HE251" s="128"/>
      <c r="HF251" s="128"/>
      <c r="HG251" s="128"/>
      <c r="HH251" s="128"/>
      <c r="HI251" s="128"/>
      <c r="HJ251" s="128"/>
      <c r="HK251" s="128"/>
      <c r="HL251" s="128"/>
      <c r="HM251" s="128"/>
      <c r="HN251" s="128"/>
      <c r="HO251" s="128"/>
      <c r="HP251" s="128"/>
      <c r="HQ251" s="128"/>
      <c r="HR251" s="128"/>
      <c r="HS251" s="128"/>
    </row>
    <row r="252" spans="1:12" ht="11.25">
      <c r="A252" s="85" t="s">
        <v>463</v>
      </c>
      <c r="B252" s="15"/>
      <c r="C252" s="15"/>
      <c r="D252" s="98" t="s">
        <v>14</v>
      </c>
      <c r="H252" s="147"/>
      <c r="I252" s="140"/>
      <c r="J252" s="143"/>
      <c r="K252" s="143"/>
      <c r="L252" s="143"/>
    </row>
    <row r="253" spans="1:12" ht="11.25">
      <c r="A253" s="85"/>
      <c r="B253" s="15"/>
      <c r="C253" s="15" t="s">
        <v>16</v>
      </c>
      <c r="H253" s="147"/>
      <c r="I253" s="140"/>
      <c r="J253" s="143"/>
      <c r="K253" s="143"/>
      <c r="L253" s="143"/>
    </row>
    <row r="254" spans="1:12" ht="11.25">
      <c r="A254" s="85"/>
      <c r="B254" s="15"/>
      <c r="C254" s="15" t="s">
        <v>10</v>
      </c>
      <c r="H254" s="147"/>
      <c r="I254" s="140"/>
      <c r="J254" s="143"/>
      <c r="K254" s="143"/>
      <c r="L254" s="143"/>
    </row>
    <row r="255" spans="1:12" ht="11.25">
      <c r="A255" s="85" t="s">
        <v>464</v>
      </c>
      <c r="B255" s="15"/>
      <c r="C255" s="15"/>
      <c r="D255" s="98" t="s">
        <v>17</v>
      </c>
      <c r="H255" s="147"/>
      <c r="I255" s="140"/>
      <c r="J255" s="143"/>
      <c r="K255" s="143"/>
      <c r="L255" s="143"/>
    </row>
    <row r="256" spans="1:12" ht="22.5">
      <c r="A256" s="85" t="s">
        <v>465</v>
      </c>
      <c r="B256" s="15"/>
      <c r="C256" s="15"/>
      <c r="D256" s="98" t="s">
        <v>18</v>
      </c>
      <c r="H256" s="147" t="s">
        <v>212</v>
      </c>
      <c r="I256" s="140"/>
      <c r="J256" s="472" t="s">
        <v>630</v>
      </c>
      <c r="K256" s="143"/>
      <c r="L256" s="143"/>
    </row>
    <row r="257" spans="1:12" ht="11.25">
      <c r="A257" s="85"/>
      <c r="B257" s="15"/>
      <c r="C257" s="15" t="s">
        <v>15</v>
      </c>
      <c r="H257" s="147"/>
      <c r="I257" s="140"/>
      <c r="J257" s="143"/>
      <c r="K257" s="143"/>
      <c r="L257" s="143"/>
    </row>
    <row r="258" spans="1:12" ht="11.25">
      <c r="A258" s="85" t="s">
        <v>466</v>
      </c>
      <c r="B258" s="15"/>
      <c r="C258" s="15"/>
      <c r="D258" s="98" t="s">
        <v>17</v>
      </c>
      <c r="H258" s="147"/>
      <c r="I258" s="140"/>
      <c r="J258" s="143"/>
      <c r="K258" s="143"/>
      <c r="L258" s="143"/>
    </row>
    <row r="259" spans="1:12" ht="11.25">
      <c r="A259" s="85" t="s">
        <v>467</v>
      </c>
      <c r="B259" s="15"/>
      <c r="C259" s="15"/>
      <c r="D259" s="98" t="s">
        <v>19</v>
      </c>
      <c r="H259" s="147"/>
      <c r="I259" s="140"/>
      <c r="J259" s="143"/>
      <c r="K259" s="143"/>
      <c r="L259" s="143"/>
    </row>
    <row r="260" spans="1:12" ht="11.25">
      <c r="A260" s="85"/>
      <c r="B260" s="15"/>
      <c r="C260" s="15" t="s">
        <v>20</v>
      </c>
      <c r="H260" s="147"/>
      <c r="I260" s="140"/>
      <c r="J260" s="143"/>
      <c r="K260" s="143"/>
      <c r="L260" s="143"/>
    </row>
    <row r="261" spans="1:12" ht="11.25">
      <c r="A261" s="85"/>
      <c r="B261" s="15" t="s">
        <v>207</v>
      </c>
      <c r="C261" s="15"/>
      <c r="H261" s="147"/>
      <c r="I261" s="140"/>
      <c r="J261" s="143"/>
      <c r="K261" s="143"/>
      <c r="L261" s="143"/>
    </row>
    <row r="262" spans="1:12" ht="11.25">
      <c r="A262" s="85"/>
      <c r="H262" s="147"/>
      <c r="I262" s="140"/>
      <c r="J262" s="143"/>
      <c r="K262" s="143"/>
      <c r="L262" s="143"/>
    </row>
    <row r="263" spans="1:12" ht="11.25">
      <c r="A263" s="112" t="s">
        <v>77</v>
      </c>
      <c r="B263" s="98" t="s">
        <v>215</v>
      </c>
      <c r="H263" s="147" t="s">
        <v>218</v>
      </c>
      <c r="I263" s="140"/>
      <c r="J263" s="143"/>
      <c r="K263" s="143"/>
      <c r="L263" s="143"/>
    </row>
    <row r="264" spans="1:12" ht="36.75" customHeight="1">
      <c r="A264" s="102"/>
      <c r="B264" s="15"/>
      <c r="C264" s="15" t="s">
        <v>31</v>
      </c>
      <c r="D264" s="15"/>
      <c r="H264" s="140"/>
      <c r="I264" s="140"/>
      <c r="J264" s="143"/>
      <c r="K264" s="143"/>
      <c r="L264" s="143"/>
    </row>
    <row r="265" spans="1:12" ht="33.75">
      <c r="A265" s="102" t="s">
        <v>468</v>
      </c>
      <c r="B265" s="15"/>
      <c r="C265" s="15"/>
      <c r="D265" s="15" t="s">
        <v>177</v>
      </c>
      <c r="H265" s="147" t="s">
        <v>623</v>
      </c>
      <c r="I265" s="140"/>
      <c r="J265" s="143"/>
      <c r="K265" s="143"/>
      <c r="L265" s="143"/>
    </row>
    <row r="266" spans="1:12" ht="11.25">
      <c r="A266" s="102" t="s">
        <v>469</v>
      </c>
      <c r="B266" s="15"/>
      <c r="C266" s="15"/>
      <c r="D266" s="15" t="s">
        <v>178</v>
      </c>
      <c r="H266" s="147"/>
      <c r="I266" s="140"/>
      <c r="J266" s="143"/>
      <c r="K266" s="143"/>
      <c r="L266" s="143"/>
    </row>
    <row r="267" spans="1:12" ht="11.25">
      <c r="A267" s="112"/>
      <c r="B267" s="15"/>
      <c r="C267" s="15" t="s">
        <v>10</v>
      </c>
      <c r="H267" s="147"/>
      <c r="I267" s="140"/>
      <c r="J267" s="143"/>
      <c r="K267" s="143"/>
      <c r="L267" s="143"/>
    </row>
    <row r="268" spans="1:12" ht="87" customHeight="1">
      <c r="A268" s="112" t="s">
        <v>470</v>
      </c>
      <c r="B268" s="15"/>
      <c r="C268" s="15"/>
      <c r="D268" s="98" t="s">
        <v>11</v>
      </c>
      <c r="H268" s="140"/>
      <c r="I268" s="140"/>
      <c r="J268" s="143"/>
      <c r="K268" s="143"/>
      <c r="L268" s="143"/>
    </row>
    <row r="269" spans="1:12" ht="11.25">
      <c r="A269" s="112" t="s">
        <v>471</v>
      </c>
      <c r="B269" s="15"/>
      <c r="C269" s="15"/>
      <c r="D269" s="98" t="s">
        <v>12</v>
      </c>
      <c r="H269" s="140"/>
      <c r="I269" s="140"/>
      <c r="J269" s="143"/>
      <c r="K269" s="143"/>
      <c r="L269" s="143"/>
    </row>
    <row r="270" spans="1:12" ht="11.25">
      <c r="A270" s="112" t="s">
        <v>472</v>
      </c>
      <c r="B270" s="15"/>
      <c r="C270" s="15"/>
      <c r="D270" s="98" t="s">
        <v>13</v>
      </c>
      <c r="H270" s="140"/>
      <c r="I270" s="140"/>
      <c r="J270" s="143"/>
      <c r="K270" s="143"/>
      <c r="L270" s="143"/>
    </row>
    <row r="271" spans="1:12" ht="11.25">
      <c r="A271" s="112" t="s">
        <v>473</v>
      </c>
      <c r="B271" s="15"/>
      <c r="C271" s="15"/>
      <c r="D271" s="98" t="s">
        <v>14</v>
      </c>
      <c r="H271" s="140"/>
      <c r="I271" s="140"/>
      <c r="J271" s="143"/>
      <c r="K271" s="143"/>
      <c r="L271" s="143"/>
    </row>
    <row r="272" spans="1:12" ht="11.25">
      <c r="A272" s="112"/>
      <c r="B272" s="15"/>
      <c r="C272" s="15" t="s">
        <v>15</v>
      </c>
      <c r="H272" s="140"/>
      <c r="I272" s="140"/>
      <c r="J272" s="143"/>
      <c r="K272" s="143"/>
      <c r="L272" s="143"/>
    </row>
    <row r="273" spans="1:12" ht="11.25">
      <c r="A273" s="112" t="s">
        <v>474</v>
      </c>
      <c r="B273" s="15"/>
      <c r="C273" s="15"/>
      <c r="D273" s="98" t="s">
        <v>11</v>
      </c>
      <c r="H273" s="140"/>
      <c r="I273" s="140"/>
      <c r="J273" s="143"/>
      <c r="K273" s="143"/>
      <c r="L273" s="143"/>
    </row>
    <row r="274" spans="1:12" ht="11.25">
      <c r="A274" s="112" t="s">
        <v>475</v>
      </c>
      <c r="B274" s="15"/>
      <c r="C274" s="15"/>
      <c r="D274" s="98" t="s">
        <v>12</v>
      </c>
      <c r="H274" s="140"/>
      <c r="I274" s="140"/>
      <c r="J274" s="143"/>
      <c r="K274" s="143"/>
      <c r="L274" s="143"/>
    </row>
    <row r="275" spans="1:12" ht="11.25">
      <c r="A275" s="112" t="s">
        <v>476</v>
      </c>
      <c r="B275" s="15"/>
      <c r="C275" s="15"/>
      <c r="D275" s="98" t="s">
        <v>13</v>
      </c>
      <c r="H275" s="140"/>
      <c r="I275" s="140"/>
      <c r="J275" s="143"/>
      <c r="K275" s="143"/>
      <c r="L275" s="143"/>
    </row>
    <row r="276" spans="1:12" ht="11.25">
      <c r="A276" s="112" t="s">
        <v>477</v>
      </c>
      <c r="B276" s="15"/>
      <c r="C276" s="15"/>
      <c r="D276" s="98" t="s">
        <v>14</v>
      </c>
      <c r="H276" s="140"/>
      <c r="I276" s="140"/>
      <c r="J276" s="143"/>
      <c r="K276" s="143"/>
      <c r="L276" s="143"/>
    </row>
    <row r="277" spans="1:12" ht="11.25">
      <c r="A277" s="112"/>
      <c r="B277" s="15"/>
      <c r="C277" s="15" t="s">
        <v>16</v>
      </c>
      <c r="H277" s="140"/>
      <c r="I277" s="140"/>
      <c r="J277" s="143"/>
      <c r="K277" s="143"/>
      <c r="L277" s="143"/>
    </row>
    <row r="278" spans="1:12" ht="11.25">
      <c r="A278" s="112"/>
      <c r="B278" s="15"/>
      <c r="C278" s="15" t="s">
        <v>10</v>
      </c>
      <c r="H278" s="140"/>
      <c r="I278" s="140"/>
      <c r="J278" s="143"/>
      <c r="K278" s="143"/>
      <c r="L278" s="143"/>
    </row>
    <row r="279" spans="1:12" ht="11.25">
      <c r="A279" s="112" t="s">
        <v>478</v>
      </c>
      <c r="B279" s="15"/>
      <c r="C279" s="15"/>
      <c r="D279" s="98" t="s">
        <v>17</v>
      </c>
      <c r="H279" s="140"/>
      <c r="I279" s="140"/>
      <c r="J279" s="143"/>
      <c r="K279" s="143"/>
      <c r="L279" s="143"/>
    </row>
    <row r="280" spans="1:12" ht="11.25">
      <c r="A280" s="112" t="s">
        <v>479</v>
      </c>
      <c r="B280" s="15"/>
      <c r="C280" s="15"/>
      <c r="D280" s="98" t="s">
        <v>18</v>
      </c>
      <c r="H280" s="140"/>
      <c r="I280" s="140"/>
      <c r="J280" s="143"/>
      <c r="K280" s="143"/>
      <c r="L280" s="143"/>
    </row>
    <row r="281" spans="1:12" ht="11.25">
      <c r="A281" s="112"/>
      <c r="B281" s="15"/>
      <c r="C281" s="15" t="s">
        <v>15</v>
      </c>
      <c r="H281" s="140"/>
      <c r="I281" s="140"/>
      <c r="J281" s="143"/>
      <c r="K281" s="143"/>
      <c r="L281" s="143"/>
    </row>
    <row r="282" spans="1:12" ht="11.25">
      <c r="A282" s="112" t="s">
        <v>479</v>
      </c>
      <c r="B282" s="15"/>
      <c r="C282" s="15"/>
      <c r="D282" s="98" t="s">
        <v>17</v>
      </c>
      <c r="H282" s="140"/>
      <c r="I282" s="140"/>
      <c r="J282" s="143"/>
      <c r="K282" s="143"/>
      <c r="L282" s="143"/>
    </row>
    <row r="283" spans="1:12" ht="11.25">
      <c r="A283" s="112" t="s">
        <v>480</v>
      </c>
      <c r="B283" s="15"/>
      <c r="C283" s="15"/>
      <c r="D283" s="98" t="s">
        <v>19</v>
      </c>
      <c r="H283" s="140"/>
      <c r="I283" s="140"/>
      <c r="J283" s="143"/>
      <c r="K283" s="143"/>
      <c r="L283" s="143"/>
    </row>
    <row r="284" spans="1:12" ht="11.25">
      <c r="A284" s="112"/>
      <c r="B284" s="15"/>
      <c r="C284" s="15" t="s">
        <v>20</v>
      </c>
      <c r="H284" s="140"/>
      <c r="I284" s="140"/>
      <c r="J284" s="143"/>
      <c r="K284" s="143"/>
      <c r="L284" s="143"/>
    </row>
    <row r="285" spans="1:12" ht="11.25">
      <c r="A285" s="112"/>
      <c r="B285" s="98" t="s">
        <v>216</v>
      </c>
      <c r="C285" s="15"/>
      <c r="H285" s="140"/>
      <c r="I285" s="140"/>
      <c r="J285" s="143"/>
      <c r="K285" s="143"/>
      <c r="L285" s="143"/>
    </row>
    <row r="286" spans="1:12" ht="11.25">
      <c r="A286" s="97"/>
      <c r="H286" s="140"/>
      <c r="I286" s="140"/>
      <c r="J286" s="143"/>
      <c r="K286" s="143"/>
      <c r="L286" s="143"/>
    </row>
    <row r="287" spans="1:12" ht="11.25">
      <c r="A287" s="97" t="s">
        <v>53</v>
      </c>
      <c r="B287" s="98" t="s">
        <v>219</v>
      </c>
      <c r="H287" s="147" t="s">
        <v>218</v>
      </c>
      <c r="I287" s="140"/>
      <c r="J287" s="143"/>
      <c r="K287" s="143"/>
      <c r="L287" s="143"/>
    </row>
    <row r="288" spans="1:12" ht="11.25">
      <c r="A288" s="97"/>
      <c r="C288" s="15" t="s">
        <v>31</v>
      </c>
      <c r="D288" s="15"/>
      <c r="H288" s="140"/>
      <c r="I288" s="140"/>
      <c r="J288" s="143"/>
      <c r="K288" s="143"/>
      <c r="L288" s="143"/>
    </row>
    <row r="289" spans="1:12" ht="33.75">
      <c r="A289" s="97" t="s">
        <v>481</v>
      </c>
      <c r="C289" s="15"/>
      <c r="D289" s="15" t="s">
        <v>177</v>
      </c>
      <c r="H289" s="147" t="s">
        <v>221</v>
      </c>
      <c r="I289" s="140"/>
      <c r="J289" s="143"/>
      <c r="K289" s="143"/>
      <c r="L289" s="143"/>
    </row>
    <row r="290" spans="1:12" ht="11.25">
      <c r="A290" s="97" t="s">
        <v>482</v>
      </c>
      <c r="C290" s="15"/>
      <c r="D290" s="15" t="s">
        <v>178</v>
      </c>
      <c r="H290" s="147"/>
      <c r="I290" s="140"/>
      <c r="J290" s="143"/>
      <c r="K290" s="143"/>
      <c r="L290" s="143"/>
    </row>
    <row r="291" spans="1:12" ht="11.25">
      <c r="A291" s="112"/>
      <c r="B291" s="15"/>
      <c r="C291" s="15" t="s">
        <v>10</v>
      </c>
      <c r="H291" s="147" t="s">
        <v>222</v>
      </c>
      <c r="I291" s="140"/>
      <c r="J291" s="144"/>
      <c r="K291" s="144"/>
      <c r="L291" s="144"/>
    </row>
    <row r="292" spans="1:12" ht="11.25">
      <c r="A292" s="112" t="s">
        <v>483</v>
      </c>
      <c r="B292" s="15"/>
      <c r="C292" s="15"/>
      <c r="D292" s="98" t="s">
        <v>11</v>
      </c>
      <c r="H292" s="140" t="s">
        <v>223</v>
      </c>
      <c r="I292" s="140"/>
      <c r="J292" s="143"/>
      <c r="K292" s="143"/>
      <c r="L292" s="143"/>
    </row>
    <row r="293" spans="1:12" ht="11.25">
      <c r="A293" s="112" t="s">
        <v>484</v>
      </c>
      <c r="B293" s="15"/>
      <c r="C293" s="15"/>
      <c r="D293" s="98" t="s">
        <v>12</v>
      </c>
      <c r="H293" s="140"/>
      <c r="I293" s="140"/>
      <c r="J293" s="143"/>
      <c r="K293" s="143"/>
      <c r="L293" s="143"/>
    </row>
    <row r="294" spans="1:12" ht="11.25">
      <c r="A294" s="112" t="s">
        <v>485</v>
      </c>
      <c r="B294" s="15"/>
      <c r="C294" s="15"/>
      <c r="D294" s="98" t="s">
        <v>13</v>
      </c>
      <c r="H294" s="140"/>
      <c r="I294" s="140"/>
      <c r="J294" s="143"/>
      <c r="K294" s="143"/>
      <c r="L294" s="143"/>
    </row>
    <row r="295" spans="1:12" ht="11.25">
      <c r="A295" s="112" t="s">
        <v>486</v>
      </c>
      <c r="B295" s="15"/>
      <c r="C295" s="15"/>
      <c r="D295" s="98" t="s">
        <v>14</v>
      </c>
      <c r="H295" s="140"/>
      <c r="I295" s="140"/>
      <c r="J295" s="143"/>
      <c r="K295" s="143"/>
      <c r="L295" s="143"/>
    </row>
    <row r="296" spans="1:12" ht="11.25">
      <c r="A296" s="112"/>
      <c r="B296" s="15"/>
      <c r="C296" s="15" t="s">
        <v>15</v>
      </c>
      <c r="H296" s="140"/>
      <c r="I296" s="140"/>
      <c r="J296" s="143"/>
      <c r="K296" s="143"/>
      <c r="L296" s="143"/>
    </row>
    <row r="297" spans="1:12" ht="11.25">
      <c r="A297" s="112" t="s">
        <v>487</v>
      </c>
      <c r="B297" s="15"/>
      <c r="C297" s="15"/>
      <c r="D297" s="98" t="s">
        <v>11</v>
      </c>
      <c r="H297" s="140"/>
      <c r="I297" s="140"/>
      <c r="J297" s="143"/>
      <c r="K297" s="143"/>
      <c r="L297" s="143"/>
    </row>
    <row r="298" spans="1:12" ht="11.25">
      <c r="A298" s="112" t="s">
        <v>488</v>
      </c>
      <c r="B298" s="15"/>
      <c r="C298" s="15"/>
      <c r="D298" s="98" t="s">
        <v>12</v>
      </c>
      <c r="H298" s="140"/>
      <c r="I298" s="140"/>
      <c r="J298" s="143"/>
      <c r="K298" s="143"/>
      <c r="L298" s="143"/>
    </row>
    <row r="299" spans="1:12" ht="11.25">
      <c r="A299" s="112" t="s">
        <v>489</v>
      </c>
      <c r="B299" s="15"/>
      <c r="C299" s="15"/>
      <c r="D299" s="98" t="s">
        <v>13</v>
      </c>
      <c r="H299" s="140"/>
      <c r="I299" s="140"/>
      <c r="J299" s="143"/>
      <c r="K299" s="143"/>
      <c r="L299" s="143"/>
    </row>
    <row r="300" spans="1:12" ht="11.25">
      <c r="A300" s="112" t="s">
        <v>490</v>
      </c>
      <c r="B300" s="15"/>
      <c r="C300" s="15"/>
      <c r="D300" s="98" t="s">
        <v>14</v>
      </c>
      <c r="H300" s="140"/>
      <c r="I300" s="140"/>
      <c r="J300" s="143"/>
      <c r="K300" s="143"/>
      <c r="L300" s="143"/>
    </row>
    <row r="301" spans="1:12" ht="11.25">
      <c r="A301" s="112"/>
      <c r="B301" s="15"/>
      <c r="C301" s="15" t="s">
        <v>16</v>
      </c>
      <c r="H301" s="140"/>
      <c r="I301" s="140"/>
      <c r="J301" s="143"/>
      <c r="K301" s="143"/>
      <c r="L301" s="143"/>
    </row>
    <row r="302" spans="1:12" ht="11.25">
      <c r="A302" s="112"/>
      <c r="B302" s="15"/>
      <c r="C302" s="15" t="s">
        <v>10</v>
      </c>
      <c r="H302" s="140"/>
      <c r="I302" s="140"/>
      <c r="J302" s="143"/>
      <c r="K302" s="143"/>
      <c r="L302" s="143"/>
    </row>
    <row r="303" spans="1:12" ht="11.25">
      <c r="A303" s="112" t="s">
        <v>491</v>
      </c>
      <c r="B303" s="15"/>
      <c r="C303" s="15"/>
      <c r="D303" s="98" t="s">
        <v>17</v>
      </c>
      <c r="H303" s="140"/>
      <c r="I303" s="140"/>
      <c r="J303" s="143"/>
      <c r="K303" s="143"/>
      <c r="L303" s="143"/>
    </row>
    <row r="304" spans="1:12" ht="11.25">
      <c r="A304" s="112" t="s">
        <v>492</v>
      </c>
      <c r="B304" s="15"/>
      <c r="C304" s="15"/>
      <c r="D304" s="98" t="s">
        <v>18</v>
      </c>
      <c r="H304" s="140"/>
      <c r="I304" s="140"/>
      <c r="J304" s="143"/>
      <c r="K304" s="143"/>
      <c r="L304" s="143"/>
    </row>
    <row r="305" spans="1:12" ht="11.25">
      <c r="A305" s="112"/>
      <c r="B305" s="15"/>
      <c r="C305" s="15" t="s">
        <v>15</v>
      </c>
      <c r="H305" s="140"/>
      <c r="I305" s="140"/>
      <c r="J305" s="144"/>
      <c r="K305" s="144"/>
      <c r="L305" s="144"/>
    </row>
    <row r="306" spans="1:12" ht="11.25">
      <c r="A306" s="112" t="s">
        <v>493</v>
      </c>
      <c r="B306" s="15"/>
      <c r="C306" s="15"/>
      <c r="D306" s="98" t="s">
        <v>17</v>
      </c>
      <c r="H306" s="140"/>
      <c r="I306" s="140"/>
      <c r="J306" s="144"/>
      <c r="K306" s="144"/>
      <c r="L306" s="144"/>
    </row>
    <row r="307" spans="1:12" ht="11.25">
      <c r="A307" s="112" t="s">
        <v>494</v>
      </c>
      <c r="B307" s="15"/>
      <c r="C307" s="15"/>
      <c r="D307" s="98" t="s">
        <v>19</v>
      </c>
      <c r="H307" s="140"/>
      <c r="I307" s="140"/>
      <c r="J307" s="144"/>
      <c r="K307" s="144"/>
      <c r="L307" s="144"/>
    </row>
    <row r="308" spans="1:12" ht="11.25">
      <c r="A308" s="112"/>
      <c r="B308" s="15"/>
      <c r="C308" s="15" t="s">
        <v>20</v>
      </c>
      <c r="H308" s="140"/>
      <c r="I308" s="140"/>
      <c r="J308" s="144"/>
      <c r="K308" s="144"/>
      <c r="L308" s="144"/>
    </row>
    <row r="309" spans="1:12" ht="11.25">
      <c r="A309" s="112"/>
      <c r="B309" s="15" t="s">
        <v>220</v>
      </c>
      <c r="C309" s="15"/>
      <c r="H309" s="140"/>
      <c r="I309" s="140"/>
      <c r="J309" s="144"/>
      <c r="K309" s="144"/>
      <c r="L309" s="144"/>
    </row>
    <row r="310" spans="1:12" ht="11.25">
      <c r="A310" s="97"/>
      <c r="H310" s="140"/>
      <c r="I310" s="140"/>
      <c r="J310" s="143"/>
      <c r="K310" s="143"/>
      <c r="L310" s="143"/>
    </row>
    <row r="311" spans="1:12" ht="11.25">
      <c r="A311" s="97" t="s">
        <v>159</v>
      </c>
      <c r="B311" s="98" t="s">
        <v>224</v>
      </c>
      <c r="H311" s="147" t="s">
        <v>226</v>
      </c>
      <c r="I311" s="140"/>
      <c r="J311" s="143"/>
      <c r="K311" s="143"/>
      <c r="L311" s="143"/>
    </row>
    <row r="312" spans="1:12" ht="11.25">
      <c r="A312" s="97"/>
      <c r="C312" s="15" t="s">
        <v>31</v>
      </c>
      <c r="D312" s="15"/>
      <c r="H312" s="147"/>
      <c r="I312" s="140"/>
      <c r="J312" s="143"/>
      <c r="K312" s="143"/>
      <c r="L312" s="143"/>
    </row>
    <row r="313" spans="1:12" ht="11.25">
      <c r="A313" s="97" t="s">
        <v>495</v>
      </c>
      <c r="C313" s="15"/>
      <c r="D313" s="15" t="s">
        <v>177</v>
      </c>
      <c r="H313" s="147" t="s">
        <v>227</v>
      </c>
      <c r="I313" s="140"/>
      <c r="J313" s="143"/>
      <c r="K313" s="143"/>
      <c r="L313" s="143"/>
    </row>
    <row r="314" spans="1:12" ht="11.25">
      <c r="A314" s="97" t="s">
        <v>496</v>
      </c>
      <c r="C314" s="15"/>
      <c r="D314" s="15" t="s">
        <v>178</v>
      </c>
      <c r="H314" s="147"/>
      <c r="I314" s="140"/>
      <c r="J314" s="143"/>
      <c r="K314" s="143"/>
      <c r="L314" s="143"/>
    </row>
    <row r="315" spans="1:12" ht="11.25">
      <c r="A315" s="112"/>
      <c r="B315" s="15"/>
      <c r="C315" s="15" t="s">
        <v>10</v>
      </c>
      <c r="D315" s="15"/>
      <c r="H315" s="147"/>
      <c r="I315" s="140"/>
      <c r="J315" s="144"/>
      <c r="K315" s="144"/>
      <c r="L315" s="144"/>
    </row>
    <row r="316" spans="1:12" ht="11.25">
      <c r="A316" s="112" t="s">
        <v>497</v>
      </c>
      <c r="B316" s="15"/>
      <c r="C316" s="15"/>
      <c r="D316" s="15" t="s">
        <v>11</v>
      </c>
      <c r="H316" s="140"/>
      <c r="I316" s="140"/>
      <c r="J316" s="143"/>
      <c r="K316" s="143"/>
      <c r="L316" s="143"/>
    </row>
    <row r="317" spans="1:12" ht="11.25">
      <c r="A317" s="112" t="s">
        <v>498</v>
      </c>
      <c r="B317" s="15"/>
      <c r="C317" s="15"/>
      <c r="D317" s="15" t="s">
        <v>12</v>
      </c>
      <c r="H317" s="140"/>
      <c r="I317" s="140"/>
      <c r="J317" s="143"/>
      <c r="K317" s="143"/>
      <c r="L317" s="143"/>
    </row>
    <row r="318" spans="1:12" ht="11.25">
      <c r="A318" s="112" t="s">
        <v>499</v>
      </c>
      <c r="B318" s="15"/>
      <c r="C318" s="15"/>
      <c r="D318" s="15" t="s">
        <v>13</v>
      </c>
      <c r="H318" s="140"/>
      <c r="I318" s="140"/>
      <c r="J318" s="143"/>
      <c r="K318" s="143"/>
      <c r="L318" s="143"/>
    </row>
    <row r="319" spans="1:12" ht="11.25">
      <c r="A319" s="112" t="s">
        <v>500</v>
      </c>
      <c r="B319" s="15"/>
      <c r="C319" s="15"/>
      <c r="D319" s="15" t="s">
        <v>14</v>
      </c>
      <c r="H319" s="140"/>
      <c r="I319" s="140"/>
      <c r="J319" s="143"/>
      <c r="K319" s="143"/>
      <c r="L319" s="143"/>
    </row>
    <row r="320" spans="1:12" ht="11.25">
      <c r="A320" s="112"/>
      <c r="B320" s="15"/>
      <c r="C320" s="15" t="s">
        <v>15</v>
      </c>
      <c r="D320" s="15"/>
      <c r="H320" s="140"/>
      <c r="I320" s="140"/>
      <c r="J320" s="143"/>
      <c r="K320" s="143"/>
      <c r="L320" s="143"/>
    </row>
    <row r="321" spans="1:12" ht="11.25">
      <c r="A321" s="112" t="s">
        <v>501</v>
      </c>
      <c r="B321" s="15"/>
      <c r="C321" s="15"/>
      <c r="D321" s="15" t="s">
        <v>11</v>
      </c>
      <c r="H321" s="140"/>
      <c r="I321" s="140"/>
      <c r="J321" s="143"/>
      <c r="K321" s="143"/>
      <c r="L321" s="143"/>
    </row>
    <row r="322" spans="1:12" ht="11.25">
      <c r="A322" s="112" t="s">
        <v>502</v>
      </c>
      <c r="B322" s="15"/>
      <c r="C322" s="15"/>
      <c r="D322" s="15" t="s">
        <v>12</v>
      </c>
      <c r="H322" s="140"/>
      <c r="I322" s="140"/>
      <c r="J322" s="143"/>
      <c r="K322" s="143"/>
      <c r="L322" s="143"/>
    </row>
    <row r="323" spans="1:12" ht="11.25">
      <c r="A323" s="112" t="s">
        <v>503</v>
      </c>
      <c r="B323" s="15"/>
      <c r="C323" s="15"/>
      <c r="D323" s="15" t="s">
        <v>13</v>
      </c>
      <c r="H323" s="140"/>
      <c r="I323" s="140"/>
      <c r="J323" s="143"/>
      <c r="K323" s="143"/>
      <c r="L323" s="143"/>
    </row>
    <row r="324" spans="1:12" ht="11.25">
      <c r="A324" s="112" t="s">
        <v>504</v>
      </c>
      <c r="B324" s="15"/>
      <c r="C324" s="15"/>
      <c r="D324" s="15" t="s">
        <v>14</v>
      </c>
      <c r="H324" s="140"/>
      <c r="I324" s="140"/>
      <c r="J324" s="143"/>
      <c r="K324" s="143"/>
      <c r="L324" s="143"/>
    </row>
    <row r="325" spans="1:12" ht="11.25">
      <c r="A325" s="112"/>
      <c r="B325" s="15"/>
      <c r="C325" s="15" t="s">
        <v>16</v>
      </c>
      <c r="D325" s="15"/>
      <c r="H325" s="140"/>
      <c r="I325" s="140"/>
      <c r="J325" s="143"/>
      <c r="K325" s="143"/>
      <c r="L325" s="143"/>
    </row>
    <row r="326" spans="1:12" ht="11.25">
      <c r="A326" s="112"/>
      <c r="B326" s="15"/>
      <c r="C326" s="15" t="s">
        <v>10</v>
      </c>
      <c r="D326" s="15"/>
      <c r="H326" s="140"/>
      <c r="I326" s="140"/>
      <c r="J326" s="143"/>
      <c r="K326" s="143"/>
      <c r="L326" s="143"/>
    </row>
    <row r="327" spans="1:12" ht="11.25">
      <c r="A327" s="112" t="s">
        <v>505</v>
      </c>
      <c r="B327" s="15"/>
      <c r="C327" s="15"/>
      <c r="D327" s="15" t="s">
        <v>17</v>
      </c>
      <c r="H327" s="140"/>
      <c r="I327" s="140"/>
      <c r="J327" s="143"/>
      <c r="K327" s="143"/>
      <c r="L327" s="143"/>
    </row>
    <row r="328" spans="1:12" ht="11.25">
      <c r="A328" s="112" t="s">
        <v>506</v>
      </c>
      <c r="B328" s="15"/>
      <c r="C328" s="15"/>
      <c r="D328" s="15" t="s">
        <v>18</v>
      </c>
      <c r="H328" s="140"/>
      <c r="I328" s="140"/>
      <c r="J328" s="143"/>
      <c r="K328" s="143"/>
      <c r="L328" s="143"/>
    </row>
    <row r="329" spans="1:12" ht="11.25">
      <c r="A329" s="112"/>
      <c r="B329" s="15"/>
      <c r="C329" s="15" t="s">
        <v>15</v>
      </c>
      <c r="D329" s="15"/>
      <c r="H329" s="140"/>
      <c r="I329" s="140"/>
      <c r="J329" s="144"/>
      <c r="K329" s="144"/>
      <c r="L329" s="144"/>
    </row>
    <row r="330" spans="1:12" ht="11.25">
      <c r="A330" s="112" t="s">
        <v>507</v>
      </c>
      <c r="B330" s="15"/>
      <c r="C330" s="15"/>
      <c r="D330" s="15" t="s">
        <v>17</v>
      </c>
      <c r="H330" s="140"/>
      <c r="I330" s="140"/>
      <c r="J330" s="144"/>
      <c r="K330" s="144"/>
      <c r="L330" s="144"/>
    </row>
    <row r="331" spans="1:12" ht="11.25">
      <c r="A331" s="112" t="s">
        <v>508</v>
      </c>
      <c r="B331" s="15"/>
      <c r="C331" s="15"/>
      <c r="D331" s="15" t="s">
        <v>19</v>
      </c>
      <c r="H331" s="140"/>
      <c r="I331" s="140"/>
      <c r="J331" s="144"/>
      <c r="K331" s="144"/>
      <c r="L331" s="144"/>
    </row>
    <row r="332" spans="1:12" ht="11.25">
      <c r="A332" s="112"/>
      <c r="B332" s="15"/>
      <c r="C332" s="15" t="s">
        <v>20</v>
      </c>
      <c r="D332" s="15"/>
      <c r="H332" s="140"/>
      <c r="I332" s="140"/>
      <c r="J332" s="144"/>
      <c r="K332" s="144"/>
      <c r="L332" s="144"/>
    </row>
    <row r="333" spans="1:12" ht="11.25">
      <c r="A333" s="112"/>
      <c r="B333" s="15" t="s">
        <v>225</v>
      </c>
      <c r="C333" s="15"/>
      <c r="D333" s="15"/>
      <c r="H333" s="140"/>
      <c r="I333" s="140"/>
      <c r="J333" s="144"/>
      <c r="K333" s="144"/>
      <c r="L333" s="144"/>
    </row>
    <row r="334" spans="1:12" ht="11.25">
      <c r="A334" s="97"/>
      <c r="H334" s="140"/>
      <c r="I334" s="140"/>
      <c r="J334" s="143"/>
      <c r="K334" s="143"/>
      <c r="L334" s="143"/>
    </row>
    <row r="335" spans="1:12" ht="11.25">
      <c r="A335" s="97" t="s">
        <v>160</v>
      </c>
      <c r="B335" s="98" t="s">
        <v>229</v>
      </c>
      <c r="H335" s="147" t="s">
        <v>230</v>
      </c>
      <c r="I335" s="140"/>
      <c r="J335" s="143"/>
      <c r="K335" s="143"/>
      <c r="L335" s="143"/>
    </row>
    <row r="336" spans="1:12" ht="11.25">
      <c r="A336" s="97"/>
      <c r="C336" s="15" t="s">
        <v>31</v>
      </c>
      <c r="D336" s="15"/>
      <c r="H336" s="147"/>
      <c r="I336" s="140"/>
      <c r="J336" s="143"/>
      <c r="K336" s="143"/>
      <c r="L336" s="143"/>
    </row>
    <row r="337" spans="1:12" ht="11.25">
      <c r="A337" s="97" t="s">
        <v>510</v>
      </c>
      <c r="C337" s="15"/>
      <c r="D337" s="15" t="s">
        <v>177</v>
      </c>
      <c r="H337" s="147"/>
      <c r="I337" s="140"/>
      <c r="J337" s="143"/>
      <c r="K337" s="143"/>
      <c r="L337" s="143"/>
    </row>
    <row r="338" spans="1:12" ht="11.25">
      <c r="A338" s="97" t="s">
        <v>511</v>
      </c>
      <c r="C338" s="15"/>
      <c r="D338" s="15" t="s">
        <v>178</v>
      </c>
      <c r="H338" s="147"/>
      <c r="I338" s="140"/>
      <c r="J338" s="143"/>
      <c r="K338" s="143"/>
      <c r="L338" s="143"/>
    </row>
    <row r="339" spans="1:12" ht="11.25">
      <c r="A339" s="112"/>
      <c r="B339" s="15"/>
      <c r="C339" s="15" t="s">
        <v>10</v>
      </c>
      <c r="D339" s="15"/>
      <c r="H339" s="147"/>
      <c r="I339" s="140"/>
      <c r="J339" s="144"/>
      <c r="K339" s="144"/>
      <c r="L339" s="144"/>
    </row>
    <row r="340" spans="1:12" ht="11.25">
      <c r="A340" s="112" t="s">
        <v>512</v>
      </c>
      <c r="B340" s="15"/>
      <c r="C340" s="15"/>
      <c r="D340" s="15" t="s">
        <v>11</v>
      </c>
      <c r="H340" s="140"/>
      <c r="I340" s="140"/>
      <c r="J340" s="143"/>
      <c r="K340" s="143"/>
      <c r="L340" s="143"/>
    </row>
    <row r="341" spans="1:12" ht="11.25">
      <c r="A341" s="112" t="s">
        <v>513</v>
      </c>
      <c r="B341" s="15"/>
      <c r="C341" s="15"/>
      <c r="D341" s="15" t="s">
        <v>12</v>
      </c>
      <c r="H341" s="140"/>
      <c r="I341" s="140"/>
      <c r="J341" s="143"/>
      <c r="K341" s="143"/>
      <c r="L341" s="143"/>
    </row>
    <row r="342" spans="1:12" ht="11.25">
      <c r="A342" s="112" t="s">
        <v>514</v>
      </c>
      <c r="B342" s="15"/>
      <c r="C342" s="15"/>
      <c r="D342" s="15" t="s">
        <v>13</v>
      </c>
      <c r="H342" s="140"/>
      <c r="I342" s="140"/>
      <c r="J342" s="143"/>
      <c r="K342" s="143"/>
      <c r="L342" s="143"/>
    </row>
    <row r="343" spans="1:12" ht="11.25">
      <c r="A343" s="112" t="s">
        <v>515</v>
      </c>
      <c r="B343" s="15"/>
      <c r="C343" s="15"/>
      <c r="D343" s="15" t="s">
        <v>14</v>
      </c>
      <c r="H343" s="140"/>
      <c r="I343" s="140"/>
      <c r="J343" s="143"/>
      <c r="K343" s="143"/>
      <c r="L343" s="143"/>
    </row>
    <row r="344" spans="1:12" ht="11.25">
      <c r="A344" s="112"/>
      <c r="B344" s="15"/>
      <c r="C344" s="15" t="s">
        <v>15</v>
      </c>
      <c r="D344" s="15"/>
      <c r="H344" s="140"/>
      <c r="I344" s="140"/>
      <c r="J344" s="143"/>
      <c r="K344" s="143"/>
      <c r="L344" s="143"/>
    </row>
    <row r="345" spans="1:12" ht="11.25">
      <c r="A345" s="112" t="s">
        <v>516</v>
      </c>
      <c r="B345" s="15"/>
      <c r="C345" s="15"/>
      <c r="D345" s="15" t="s">
        <v>11</v>
      </c>
      <c r="H345" s="140"/>
      <c r="I345" s="140"/>
      <c r="J345" s="143"/>
      <c r="K345" s="143"/>
      <c r="L345" s="143"/>
    </row>
    <row r="346" spans="1:12" ht="11.25">
      <c r="A346" s="112" t="s">
        <v>517</v>
      </c>
      <c r="B346" s="15"/>
      <c r="C346" s="15"/>
      <c r="D346" s="15" t="s">
        <v>12</v>
      </c>
      <c r="H346" s="140"/>
      <c r="I346" s="140"/>
      <c r="J346" s="143"/>
      <c r="K346" s="143"/>
      <c r="L346" s="143"/>
    </row>
    <row r="347" spans="1:12" ht="11.25">
      <c r="A347" s="112" t="s">
        <v>518</v>
      </c>
      <c r="B347" s="15"/>
      <c r="C347" s="15"/>
      <c r="D347" s="15" t="s">
        <v>13</v>
      </c>
      <c r="H347" s="140"/>
      <c r="I347" s="140"/>
      <c r="J347" s="143"/>
      <c r="K347" s="143"/>
      <c r="L347" s="143"/>
    </row>
    <row r="348" spans="1:12" ht="11.25">
      <c r="A348" s="112" t="s">
        <v>519</v>
      </c>
      <c r="B348" s="15"/>
      <c r="C348" s="15"/>
      <c r="D348" s="15" t="s">
        <v>14</v>
      </c>
      <c r="H348" s="140"/>
      <c r="I348" s="140"/>
      <c r="J348" s="143"/>
      <c r="K348" s="143"/>
      <c r="L348" s="143"/>
    </row>
    <row r="349" spans="1:12" ht="11.25">
      <c r="A349" s="112"/>
      <c r="B349" s="15"/>
      <c r="C349" s="15" t="s">
        <v>16</v>
      </c>
      <c r="D349" s="15"/>
      <c r="H349" s="140"/>
      <c r="I349" s="140"/>
      <c r="J349" s="143"/>
      <c r="K349" s="143"/>
      <c r="L349" s="143"/>
    </row>
    <row r="350" spans="1:12" ht="11.25">
      <c r="A350" s="112"/>
      <c r="B350" s="15"/>
      <c r="C350" s="15" t="s">
        <v>10</v>
      </c>
      <c r="D350" s="15"/>
      <c r="H350" s="140"/>
      <c r="I350" s="140"/>
      <c r="J350" s="143"/>
      <c r="K350" s="143"/>
      <c r="L350" s="143"/>
    </row>
    <row r="351" spans="1:12" ht="11.25">
      <c r="A351" s="112" t="s">
        <v>520</v>
      </c>
      <c r="B351" s="15"/>
      <c r="C351" s="15"/>
      <c r="D351" s="15" t="s">
        <v>17</v>
      </c>
      <c r="H351" s="140"/>
      <c r="I351" s="140"/>
      <c r="J351" s="143"/>
      <c r="K351" s="143"/>
      <c r="L351" s="143"/>
    </row>
    <row r="352" spans="1:12" ht="11.25">
      <c r="A352" s="112" t="s">
        <v>521</v>
      </c>
      <c r="B352" s="15"/>
      <c r="C352" s="15"/>
      <c r="D352" s="15" t="s">
        <v>18</v>
      </c>
      <c r="H352" s="140" t="s">
        <v>231</v>
      </c>
      <c r="I352" s="140"/>
      <c r="J352" s="472"/>
      <c r="K352" s="143"/>
      <c r="L352" s="143"/>
    </row>
    <row r="353" spans="1:12" ht="11.25">
      <c r="A353" s="112"/>
      <c r="B353" s="15"/>
      <c r="C353" s="15" t="s">
        <v>15</v>
      </c>
      <c r="D353" s="15"/>
      <c r="H353" s="140"/>
      <c r="I353" s="140"/>
      <c r="J353" s="144"/>
      <c r="K353" s="144"/>
      <c r="L353" s="144"/>
    </row>
    <row r="354" spans="1:12" ht="11.25">
      <c r="A354" s="112" t="s">
        <v>522</v>
      </c>
      <c r="B354" s="15"/>
      <c r="C354" s="15"/>
      <c r="D354" s="15" t="s">
        <v>17</v>
      </c>
      <c r="H354" s="140"/>
      <c r="I354" s="140"/>
      <c r="J354" s="144"/>
      <c r="K354" s="144"/>
      <c r="L354" s="144"/>
    </row>
    <row r="355" spans="1:12" ht="11.25">
      <c r="A355" s="112" t="s">
        <v>523</v>
      </c>
      <c r="B355" s="15"/>
      <c r="C355" s="15"/>
      <c r="D355" s="15" t="s">
        <v>19</v>
      </c>
      <c r="H355" s="140"/>
      <c r="I355" s="140"/>
      <c r="J355" s="144"/>
      <c r="K355" s="144"/>
      <c r="L355" s="144"/>
    </row>
    <row r="356" spans="1:12" ht="11.25">
      <c r="A356" s="112"/>
      <c r="B356" s="15"/>
      <c r="C356" s="15" t="s">
        <v>20</v>
      </c>
      <c r="D356" s="15"/>
      <c r="H356" s="140"/>
      <c r="I356" s="140"/>
      <c r="J356" s="144"/>
      <c r="K356" s="144"/>
      <c r="L356" s="144"/>
    </row>
    <row r="357" spans="1:12" ht="11.25">
      <c r="A357" s="112"/>
      <c r="B357" s="98" t="s">
        <v>228</v>
      </c>
      <c r="C357" s="15"/>
      <c r="D357" s="15"/>
      <c r="H357" s="140"/>
      <c r="I357" s="140"/>
      <c r="J357" s="144"/>
      <c r="K357" s="144"/>
      <c r="L357" s="144"/>
    </row>
    <row r="358" spans="1:12" ht="11.25">
      <c r="A358" s="97"/>
      <c r="H358" s="140"/>
      <c r="I358" s="140"/>
      <c r="J358" s="143"/>
      <c r="K358" s="143"/>
      <c r="L358" s="143"/>
    </row>
    <row r="359" spans="1:12" ht="11.25">
      <c r="A359" s="97" t="s">
        <v>524</v>
      </c>
      <c r="B359" s="15" t="s">
        <v>234</v>
      </c>
      <c r="C359" s="15"/>
      <c r="H359" s="147" t="s">
        <v>242</v>
      </c>
      <c r="I359" s="140"/>
      <c r="J359" s="143"/>
      <c r="K359" s="143"/>
      <c r="L359" s="143"/>
    </row>
    <row r="360" spans="1:12" ht="11.25">
      <c r="A360" s="97" t="s">
        <v>525</v>
      </c>
      <c r="B360" s="15"/>
      <c r="C360" s="15" t="s">
        <v>241</v>
      </c>
      <c r="H360" s="147" t="s">
        <v>243</v>
      </c>
      <c r="I360" s="140"/>
      <c r="J360" s="143"/>
      <c r="K360" s="143"/>
      <c r="L360" s="143"/>
    </row>
    <row r="361" spans="1:12" ht="11.25">
      <c r="A361" s="97"/>
      <c r="B361" s="15"/>
      <c r="C361" s="15" t="s">
        <v>31</v>
      </c>
      <c r="H361" s="147"/>
      <c r="I361" s="140"/>
      <c r="J361" s="143"/>
      <c r="K361" s="143"/>
      <c r="L361" s="143"/>
    </row>
    <row r="362" spans="1:12" ht="11.25">
      <c r="A362" s="97" t="s">
        <v>526</v>
      </c>
      <c r="B362" s="15"/>
      <c r="C362" s="15"/>
      <c r="D362" s="15" t="s">
        <v>177</v>
      </c>
      <c r="H362" s="147" t="s">
        <v>235</v>
      </c>
      <c r="I362" s="140"/>
      <c r="J362" s="143"/>
      <c r="K362" s="143"/>
      <c r="L362" s="143"/>
    </row>
    <row r="363" spans="1:12" ht="11.25">
      <c r="A363" s="97" t="s">
        <v>527</v>
      </c>
      <c r="B363" s="15"/>
      <c r="C363" s="15"/>
      <c r="D363" s="15" t="s">
        <v>178</v>
      </c>
      <c r="H363" s="147" t="s">
        <v>236</v>
      </c>
      <c r="I363" s="140"/>
      <c r="J363" s="143"/>
      <c r="K363" s="143"/>
      <c r="L363" s="143"/>
    </row>
    <row r="364" spans="1:12" ht="11.25">
      <c r="A364" s="112"/>
      <c r="B364" s="15"/>
      <c r="C364" s="15" t="s">
        <v>10</v>
      </c>
      <c r="D364" s="15"/>
      <c r="H364" s="147" t="s">
        <v>209</v>
      </c>
      <c r="I364" s="140"/>
      <c r="J364" s="144"/>
      <c r="K364" s="144"/>
      <c r="L364" s="144"/>
    </row>
    <row r="365" spans="1:12" ht="54" customHeight="1">
      <c r="A365" s="112" t="s">
        <v>528</v>
      </c>
      <c r="B365" s="15"/>
      <c r="C365" s="15"/>
      <c r="D365" s="98" t="s">
        <v>11</v>
      </c>
      <c r="H365" s="147" t="s">
        <v>238</v>
      </c>
      <c r="I365" s="140"/>
      <c r="J365" s="143"/>
      <c r="K365" s="143"/>
      <c r="L365" s="143"/>
    </row>
    <row r="366" spans="1:12" ht="11.25">
      <c r="A366" s="112" t="s">
        <v>529</v>
      </c>
      <c r="B366" s="15"/>
      <c r="C366" s="15"/>
      <c r="D366" s="15" t="s">
        <v>12</v>
      </c>
      <c r="H366" s="140"/>
      <c r="I366" s="140"/>
      <c r="J366" s="144"/>
      <c r="K366" s="144"/>
      <c r="L366" s="144"/>
    </row>
    <row r="367" spans="1:12" ht="11.25">
      <c r="A367" s="112" t="s">
        <v>530</v>
      </c>
      <c r="B367" s="15"/>
      <c r="C367" s="15"/>
      <c r="D367" s="15" t="s">
        <v>13</v>
      </c>
      <c r="H367" s="140"/>
      <c r="I367" s="140"/>
      <c r="J367" s="144"/>
      <c r="K367" s="144"/>
      <c r="L367" s="144"/>
    </row>
    <row r="368" spans="1:12" ht="33.75">
      <c r="A368" s="112" t="s">
        <v>531</v>
      </c>
      <c r="B368" s="15"/>
      <c r="C368" s="15"/>
      <c r="D368" s="15" t="s">
        <v>14</v>
      </c>
      <c r="H368" s="147" t="s">
        <v>239</v>
      </c>
      <c r="I368" s="140"/>
      <c r="J368" s="472" t="s">
        <v>629</v>
      </c>
      <c r="K368" s="144"/>
      <c r="L368" s="144"/>
    </row>
    <row r="369" spans="1:12" ht="11.25">
      <c r="A369" s="112"/>
      <c r="B369" s="15"/>
      <c r="C369" s="15" t="s">
        <v>15</v>
      </c>
      <c r="D369" s="15"/>
      <c r="H369" s="140"/>
      <c r="I369" s="140"/>
      <c r="J369" s="144"/>
      <c r="K369" s="144"/>
      <c r="L369" s="144"/>
    </row>
    <row r="370" spans="1:12" ht="11.25">
      <c r="A370" s="112" t="s">
        <v>532</v>
      </c>
      <c r="B370" s="15"/>
      <c r="C370" s="15"/>
      <c r="D370" s="15" t="s">
        <v>11</v>
      </c>
      <c r="H370" s="140"/>
      <c r="I370" s="140"/>
      <c r="J370" s="144"/>
      <c r="K370" s="144"/>
      <c r="L370" s="144"/>
    </row>
    <row r="371" spans="1:12" ht="11.25">
      <c r="A371" s="112" t="s">
        <v>533</v>
      </c>
      <c r="B371" s="15"/>
      <c r="C371" s="15"/>
      <c r="D371" s="15" t="s">
        <v>12</v>
      </c>
      <c r="H371" s="140"/>
      <c r="I371" s="140"/>
      <c r="J371" s="144"/>
      <c r="K371" s="144"/>
      <c r="L371" s="144"/>
    </row>
    <row r="372" spans="1:12" ht="11.25">
      <c r="A372" s="112" t="s">
        <v>534</v>
      </c>
      <c r="B372" s="15"/>
      <c r="C372" s="15"/>
      <c r="D372" s="15" t="s">
        <v>13</v>
      </c>
      <c r="H372" s="140"/>
      <c r="I372" s="140"/>
      <c r="J372" s="144"/>
      <c r="K372" s="144"/>
      <c r="L372" s="144"/>
    </row>
    <row r="373" spans="1:12" ht="11.25">
      <c r="A373" s="112" t="s">
        <v>535</v>
      </c>
      <c r="B373" s="15"/>
      <c r="C373" s="15"/>
      <c r="D373" s="15" t="s">
        <v>14</v>
      </c>
      <c r="H373" s="140"/>
      <c r="I373" s="140"/>
      <c r="J373" s="144"/>
      <c r="K373" s="144"/>
      <c r="L373" s="144"/>
    </row>
    <row r="374" spans="1:12" ht="11.25">
      <c r="A374" s="112"/>
      <c r="B374" s="15"/>
      <c r="C374" s="15" t="s">
        <v>16</v>
      </c>
      <c r="D374" s="15"/>
      <c r="H374" s="140"/>
      <c r="I374" s="140"/>
      <c r="J374" s="144"/>
      <c r="K374" s="144"/>
      <c r="L374" s="144"/>
    </row>
    <row r="375" spans="1:12" ht="11.25">
      <c r="A375" s="112"/>
      <c r="B375" s="15"/>
      <c r="C375" s="15" t="s">
        <v>10</v>
      </c>
      <c r="D375" s="15"/>
      <c r="H375" s="140"/>
      <c r="I375" s="140"/>
      <c r="J375" s="144"/>
      <c r="K375" s="144"/>
      <c r="L375" s="144"/>
    </row>
    <row r="376" spans="1:12" ht="11.25">
      <c r="A376" s="112" t="s">
        <v>536</v>
      </c>
      <c r="B376" s="15"/>
      <c r="C376" s="15"/>
      <c r="D376" s="15" t="s">
        <v>17</v>
      </c>
      <c r="H376" s="140"/>
      <c r="I376" s="140"/>
      <c r="J376" s="144"/>
      <c r="K376" s="144"/>
      <c r="L376" s="144"/>
    </row>
    <row r="377" spans="1:12" ht="22.5">
      <c r="A377" s="112" t="s">
        <v>537</v>
      </c>
      <c r="B377" s="15"/>
      <c r="C377" s="15"/>
      <c r="D377" s="15" t="s">
        <v>18</v>
      </c>
      <c r="H377" s="147" t="s">
        <v>240</v>
      </c>
      <c r="I377" s="140"/>
      <c r="J377" s="472" t="s">
        <v>630</v>
      </c>
      <c r="K377" s="143"/>
      <c r="L377" s="143"/>
    </row>
    <row r="378" spans="1:12" ht="11.25">
      <c r="A378" s="112"/>
      <c r="B378" s="15"/>
      <c r="C378" s="15" t="s">
        <v>15</v>
      </c>
      <c r="D378" s="15"/>
      <c r="H378" s="140"/>
      <c r="I378" s="140"/>
      <c r="J378" s="144"/>
      <c r="K378" s="144"/>
      <c r="L378" s="144"/>
    </row>
    <row r="379" spans="1:12" ht="11.25">
      <c r="A379" s="112" t="s">
        <v>538</v>
      </c>
      <c r="B379" s="15"/>
      <c r="C379" s="15"/>
      <c r="D379" s="15" t="s">
        <v>17</v>
      </c>
      <c r="H379" s="140"/>
      <c r="I379" s="140"/>
      <c r="J379" s="144"/>
      <c r="K379" s="144"/>
      <c r="L379" s="144"/>
    </row>
    <row r="380" spans="1:12" ht="11.25">
      <c r="A380" s="112" t="s">
        <v>539</v>
      </c>
      <c r="B380" s="15"/>
      <c r="C380" s="15"/>
      <c r="D380" s="15" t="s">
        <v>19</v>
      </c>
      <c r="H380" s="140"/>
      <c r="I380" s="140"/>
      <c r="J380" s="144"/>
      <c r="K380" s="144"/>
      <c r="L380" s="144"/>
    </row>
    <row r="381" spans="1:12" ht="11.25">
      <c r="A381" s="112"/>
      <c r="B381" s="15"/>
      <c r="C381" s="15" t="s">
        <v>20</v>
      </c>
      <c r="D381" s="15"/>
      <c r="H381" s="140"/>
      <c r="I381" s="140"/>
      <c r="J381" s="144"/>
      <c r="K381" s="144"/>
      <c r="L381" s="144"/>
    </row>
    <row r="382" spans="1:12" ht="11.25">
      <c r="A382" s="112"/>
      <c r="B382" s="15" t="s">
        <v>207</v>
      </c>
      <c r="C382" s="15"/>
      <c r="D382" s="15"/>
      <c r="H382" s="140"/>
      <c r="I382" s="140"/>
      <c r="J382" s="144"/>
      <c r="K382" s="144"/>
      <c r="L382" s="144"/>
    </row>
    <row r="383" spans="1:12" ht="11.25">
      <c r="A383" s="112"/>
      <c r="H383" s="140"/>
      <c r="I383" s="140"/>
      <c r="J383" s="144"/>
      <c r="K383" s="144"/>
      <c r="L383" s="144"/>
    </row>
    <row r="384" spans="1:12" ht="11.25">
      <c r="A384" s="97" t="s">
        <v>551</v>
      </c>
      <c r="B384" s="98" t="s">
        <v>251</v>
      </c>
      <c r="H384" s="147" t="s">
        <v>253</v>
      </c>
      <c r="I384" s="140"/>
      <c r="J384" s="143"/>
      <c r="K384" s="143"/>
      <c r="L384" s="143"/>
    </row>
    <row r="385" spans="1:12" ht="16.5" customHeight="1">
      <c r="A385" s="97"/>
      <c r="C385" s="98" t="s">
        <v>31</v>
      </c>
      <c r="H385" s="140"/>
      <c r="I385" s="140"/>
      <c r="J385" s="143"/>
      <c r="K385" s="143"/>
      <c r="L385" s="143"/>
    </row>
    <row r="386" spans="1:12" ht="45">
      <c r="A386" s="97" t="s">
        <v>509</v>
      </c>
      <c r="D386" s="98" t="s">
        <v>177</v>
      </c>
      <c r="H386" s="147" t="s">
        <v>254</v>
      </c>
      <c r="I386" s="140"/>
      <c r="J386" s="143"/>
      <c r="K386" s="143"/>
      <c r="L386" s="143"/>
    </row>
    <row r="387" spans="1:12" ht="11.25">
      <c r="A387" s="97" t="s">
        <v>552</v>
      </c>
      <c r="D387" s="98" t="s">
        <v>178</v>
      </c>
      <c r="H387" s="147" t="s">
        <v>255</v>
      </c>
      <c r="I387" s="140"/>
      <c r="J387" s="143"/>
      <c r="K387" s="143"/>
      <c r="L387" s="143"/>
    </row>
    <row r="388" spans="1:12" ht="11.25">
      <c r="A388" s="112"/>
      <c r="C388" s="98" t="s">
        <v>10</v>
      </c>
      <c r="H388" s="147" t="s">
        <v>209</v>
      </c>
      <c r="I388" s="140"/>
      <c r="J388" s="144"/>
      <c r="K388" s="144"/>
      <c r="L388" s="144"/>
    </row>
    <row r="389" spans="1:12" ht="22.5">
      <c r="A389" s="112" t="s">
        <v>553</v>
      </c>
      <c r="D389" s="98" t="s">
        <v>11</v>
      </c>
      <c r="H389" s="147" t="s">
        <v>256</v>
      </c>
      <c r="I389" s="140"/>
      <c r="J389" s="143"/>
      <c r="K389" s="143"/>
      <c r="L389" s="143"/>
    </row>
    <row r="390" spans="1:12" ht="11.25">
      <c r="A390" s="112" t="s">
        <v>554</v>
      </c>
      <c r="D390" s="98" t="s">
        <v>12</v>
      </c>
      <c r="H390" s="147"/>
      <c r="I390" s="140"/>
      <c r="J390" s="143"/>
      <c r="K390" s="143"/>
      <c r="L390" s="143"/>
    </row>
    <row r="391" spans="1:12" ht="11.25">
      <c r="A391" s="112" t="s">
        <v>555</v>
      </c>
      <c r="D391" s="98" t="s">
        <v>13</v>
      </c>
      <c r="H391" s="147"/>
      <c r="I391" s="140"/>
      <c r="J391" s="143"/>
      <c r="K391" s="143"/>
      <c r="L391" s="143"/>
    </row>
    <row r="392" spans="1:12" ht="33.75">
      <c r="A392" s="112" t="s">
        <v>556</v>
      </c>
      <c r="D392" s="98" t="s">
        <v>14</v>
      </c>
      <c r="H392" s="147" t="s">
        <v>257</v>
      </c>
      <c r="I392" s="140"/>
      <c r="J392" s="472" t="s">
        <v>629</v>
      </c>
      <c r="K392" s="143"/>
      <c r="L392" s="143"/>
    </row>
    <row r="393" spans="1:12" ht="11.25">
      <c r="A393" s="112"/>
      <c r="C393" s="98" t="s">
        <v>15</v>
      </c>
      <c r="H393" s="147"/>
      <c r="I393" s="140"/>
      <c r="J393" s="144"/>
      <c r="K393" s="143"/>
      <c r="L393" s="143"/>
    </row>
    <row r="394" spans="1:12" ht="11.25">
      <c r="A394" s="112" t="s">
        <v>557</v>
      </c>
      <c r="D394" s="98" t="s">
        <v>11</v>
      </c>
      <c r="H394" s="147"/>
      <c r="I394" s="140"/>
      <c r="J394" s="144"/>
      <c r="K394" s="143"/>
      <c r="L394" s="143"/>
    </row>
    <row r="395" spans="1:12" ht="11.25">
      <c r="A395" s="112" t="s">
        <v>558</v>
      </c>
      <c r="D395" s="98" t="s">
        <v>12</v>
      </c>
      <c r="H395" s="147"/>
      <c r="I395" s="140"/>
      <c r="J395" s="144"/>
      <c r="K395" s="143"/>
      <c r="L395" s="143"/>
    </row>
    <row r="396" spans="1:12" ht="11.25">
      <c r="A396" s="112" t="s">
        <v>559</v>
      </c>
      <c r="D396" s="98" t="s">
        <v>13</v>
      </c>
      <c r="H396" s="147"/>
      <c r="I396" s="140"/>
      <c r="J396" s="144"/>
      <c r="K396" s="143"/>
      <c r="L396" s="143"/>
    </row>
    <row r="397" spans="1:12" ht="11.25">
      <c r="A397" s="112" t="s">
        <v>560</v>
      </c>
      <c r="D397" s="98" t="s">
        <v>14</v>
      </c>
      <c r="H397" s="147"/>
      <c r="I397" s="140"/>
      <c r="J397" s="144"/>
      <c r="K397" s="143"/>
      <c r="L397" s="143"/>
    </row>
    <row r="398" spans="1:12" ht="11.25">
      <c r="A398" s="112"/>
      <c r="C398" s="98" t="s">
        <v>16</v>
      </c>
      <c r="H398" s="147"/>
      <c r="I398" s="140"/>
      <c r="J398" s="144"/>
      <c r="K398" s="143"/>
      <c r="L398" s="143"/>
    </row>
    <row r="399" spans="1:12" ht="11.25">
      <c r="A399" s="112"/>
      <c r="C399" s="98" t="s">
        <v>10</v>
      </c>
      <c r="H399" s="140"/>
      <c r="I399" s="140"/>
      <c r="J399" s="144"/>
      <c r="K399" s="143"/>
      <c r="L399" s="143"/>
    </row>
    <row r="400" spans="1:12" ht="11.25">
      <c r="A400" s="112" t="s">
        <v>561</v>
      </c>
      <c r="D400" s="98" t="s">
        <v>17</v>
      </c>
      <c r="H400" s="140"/>
      <c r="I400" s="140"/>
      <c r="J400" s="144"/>
      <c r="K400" s="143"/>
      <c r="L400" s="143"/>
    </row>
    <row r="401" spans="1:12" ht="22.5">
      <c r="A401" s="112" t="s">
        <v>562</v>
      </c>
      <c r="D401" s="98" t="s">
        <v>18</v>
      </c>
      <c r="H401" s="147" t="s">
        <v>258</v>
      </c>
      <c r="I401" s="140"/>
      <c r="J401" s="472" t="s">
        <v>630</v>
      </c>
      <c r="K401" s="143"/>
      <c r="L401" s="143"/>
    </row>
    <row r="402" spans="1:12" ht="11.25">
      <c r="A402" s="112"/>
      <c r="C402" s="98" t="s">
        <v>15</v>
      </c>
      <c r="H402" s="140"/>
      <c r="I402" s="140"/>
      <c r="J402" s="144"/>
      <c r="K402" s="144"/>
      <c r="L402" s="144"/>
    </row>
    <row r="403" spans="1:12" ht="11.25">
      <c r="A403" s="112" t="s">
        <v>563</v>
      </c>
      <c r="D403" s="98" t="s">
        <v>17</v>
      </c>
      <c r="H403" s="140"/>
      <c r="I403" s="140"/>
      <c r="J403" s="144"/>
      <c r="K403" s="144"/>
      <c r="L403" s="144"/>
    </row>
    <row r="404" spans="1:12" ht="11.25">
      <c r="A404" s="112" t="s">
        <v>564</v>
      </c>
      <c r="D404" s="98" t="s">
        <v>19</v>
      </c>
      <c r="H404" s="140"/>
      <c r="I404" s="140"/>
      <c r="J404" s="144"/>
      <c r="K404" s="144"/>
      <c r="L404" s="144"/>
    </row>
    <row r="405" spans="1:12" ht="11.25">
      <c r="A405" s="112"/>
      <c r="C405" s="98" t="s">
        <v>20</v>
      </c>
      <c r="H405" s="140"/>
      <c r="I405" s="140"/>
      <c r="J405" s="144"/>
      <c r="K405" s="144"/>
      <c r="L405" s="144"/>
    </row>
    <row r="406" spans="1:12" ht="11.25">
      <c r="A406" s="112"/>
      <c r="B406" s="98" t="s">
        <v>252</v>
      </c>
      <c r="H406" s="140"/>
      <c r="I406" s="140"/>
      <c r="J406" s="144"/>
      <c r="K406" s="144"/>
      <c r="L406" s="144"/>
    </row>
    <row r="407" spans="1:12" ht="11.25">
      <c r="A407" s="112"/>
      <c r="H407" s="140"/>
      <c r="I407" s="140"/>
      <c r="J407" s="144"/>
      <c r="K407" s="144"/>
      <c r="L407" s="144"/>
    </row>
    <row r="408" spans="1:12" ht="11.25">
      <c r="A408" s="97" t="s">
        <v>540</v>
      </c>
      <c r="B408" s="98" t="s">
        <v>259</v>
      </c>
      <c r="H408" s="147" t="s">
        <v>261</v>
      </c>
      <c r="I408" s="140"/>
      <c r="J408" s="143"/>
      <c r="K408" s="143"/>
      <c r="L408" s="143"/>
    </row>
    <row r="409" spans="1:12" ht="11.25">
      <c r="A409" s="97"/>
      <c r="C409" s="98" t="s">
        <v>31</v>
      </c>
      <c r="H409" s="140"/>
      <c r="I409" s="140"/>
      <c r="J409" s="143"/>
      <c r="K409" s="143"/>
      <c r="L409" s="143"/>
    </row>
    <row r="410" spans="1:12" ht="22.5">
      <c r="A410" s="97" t="s">
        <v>541</v>
      </c>
      <c r="D410" s="98" t="s">
        <v>177</v>
      </c>
      <c r="H410" s="147" t="s">
        <v>262</v>
      </c>
      <c r="I410" s="140"/>
      <c r="J410" s="143"/>
      <c r="K410" s="143"/>
      <c r="L410" s="143"/>
    </row>
    <row r="411" spans="1:12" ht="11.25">
      <c r="A411" s="97" t="s">
        <v>542</v>
      </c>
      <c r="D411" s="98" t="s">
        <v>178</v>
      </c>
      <c r="H411" s="147" t="s">
        <v>263</v>
      </c>
      <c r="I411" s="140"/>
      <c r="J411" s="143"/>
      <c r="K411" s="143"/>
      <c r="L411" s="143"/>
    </row>
    <row r="412" spans="1:12" ht="12.75" customHeight="1">
      <c r="A412" s="112"/>
      <c r="C412" s="98" t="s">
        <v>10</v>
      </c>
      <c r="H412" s="147" t="s">
        <v>209</v>
      </c>
      <c r="I412" s="140"/>
      <c r="J412" s="144"/>
      <c r="K412" s="144"/>
      <c r="L412" s="144"/>
    </row>
    <row r="413" spans="1:12" ht="33.75">
      <c r="A413" s="112" t="s">
        <v>543</v>
      </c>
      <c r="D413" s="98" t="s">
        <v>11</v>
      </c>
      <c r="H413" s="147" t="s">
        <v>264</v>
      </c>
      <c r="I413" s="140"/>
      <c r="J413" s="143"/>
      <c r="K413" s="143"/>
      <c r="L413" s="143"/>
    </row>
    <row r="414" spans="1:12" ht="11.25">
      <c r="A414" s="112" t="s">
        <v>544</v>
      </c>
      <c r="D414" s="98" t="s">
        <v>12</v>
      </c>
      <c r="H414" s="147"/>
      <c r="I414" s="140"/>
      <c r="J414" s="143"/>
      <c r="K414" s="143"/>
      <c r="L414" s="143"/>
    </row>
    <row r="415" spans="1:12" ht="11.25">
      <c r="A415" s="112" t="s">
        <v>545</v>
      </c>
      <c r="D415" s="98" t="s">
        <v>13</v>
      </c>
      <c r="H415" s="147"/>
      <c r="I415" s="140"/>
      <c r="J415" s="143"/>
      <c r="K415" s="143"/>
      <c r="L415" s="143"/>
    </row>
    <row r="416" spans="1:12" ht="33.75">
      <c r="A416" s="112" t="s">
        <v>546</v>
      </c>
      <c r="D416" s="98" t="s">
        <v>14</v>
      </c>
      <c r="H416" s="147" t="s">
        <v>265</v>
      </c>
      <c r="I416" s="140"/>
      <c r="J416" s="472" t="s">
        <v>629</v>
      </c>
      <c r="K416" s="143"/>
      <c r="L416" s="143"/>
    </row>
    <row r="417" spans="1:12" ht="11.25">
      <c r="A417" s="112"/>
      <c r="C417" s="98" t="s">
        <v>15</v>
      </c>
      <c r="H417" s="147"/>
      <c r="I417" s="140"/>
      <c r="J417" s="144"/>
      <c r="K417" s="143"/>
      <c r="L417" s="143"/>
    </row>
    <row r="418" spans="1:12" ht="11.25">
      <c r="A418" s="112" t="s">
        <v>547</v>
      </c>
      <c r="D418" s="98" t="s">
        <v>11</v>
      </c>
      <c r="H418" s="147"/>
      <c r="I418" s="140"/>
      <c r="J418" s="144"/>
      <c r="K418" s="143"/>
      <c r="L418" s="143"/>
    </row>
    <row r="419" spans="1:12" ht="11.25">
      <c r="A419" s="112" t="s">
        <v>548</v>
      </c>
      <c r="D419" s="98" t="s">
        <v>12</v>
      </c>
      <c r="H419" s="147"/>
      <c r="I419" s="140"/>
      <c r="J419" s="144"/>
      <c r="K419" s="143"/>
      <c r="L419" s="143"/>
    </row>
    <row r="420" spans="1:12" ht="11.25">
      <c r="A420" s="112" t="s">
        <v>549</v>
      </c>
      <c r="D420" s="98" t="s">
        <v>13</v>
      </c>
      <c r="H420" s="147"/>
      <c r="I420" s="140"/>
      <c r="J420" s="144"/>
      <c r="K420" s="143"/>
      <c r="L420" s="143"/>
    </row>
    <row r="421" spans="1:12" ht="11.25">
      <c r="A421" s="112" t="s">
        <v>550</v>
      </c>
      <c r="D421" s="98" t="s">
        <v>14</v>
      </c>
      <c r="H421" s="147"/>
      <c r="I421" s="140"/>
      <c r="J421" s="144"/>
      <c r="K421" s="143"/>
      <c r="L421" s="143"/>
    </row>
    <row r="422" spans="1:12" ht="11.25">
      <c r="A422" s="112"/>
      <c r="C422" s="98" t="s">
        <v>16</v>
      </c>
      <c r="H422" s="147"/>
      <c r="I422" s="140"/>
      <c r="J422" s="144"/>
      <c r="K422" s="143"/>
      <c r="L422" s="143"/>
    </row>
    <row r="423" spans="1:12" ht="11.25">
      <c r="A423" s="112"/>
      <c r="C423" s="98" t="s">
        <v>10</v>
      </c>
      <c r="H423" s="140"/>
      <c r="I423" s="140"/>
      <c r="J423" s="144"/>
      <c r="K423" s="143"/>
      <c r="L423" s="143"/>
    </row>
    <row r="424" spans="1:12" ht="11.25">
      <c r="A424" s="112" t="s">
        <v>565</v>
      </c>
      <c r="D424" s="98" t="s">
        <v>17</v>
      </c>
      <c r="H424" s="140"/>
      <c r="I424" s="140"/>
      <c r="J424" s="144"/>
      <c r="K424" s="143"/>
      <c r="L424" s="143"/>
    </row>
    <row r="425" spans="1:12" ht="22.5">
      <c r="A425" s="112" t="s">
        <v>566</v>
      </c>
      <c r="D425" s="98" t="s">
        <v>18</v>
      </c>
      <c r="H425" s="147" t="s">
        <v>266</v>
      </c>
      <c r="I425" s="140"/>
      <c r="J425" s="472" t="s">
        <v>630</v>
      </c>
      <c r="K425" s="143"/>
      <c r="L425" s="143"/>
    </row>
    <row r="426" spans="1:12" ht="11.25">
      <c r="A426" s="112"/>
      <c r="C426" s="98" t="s">
        <v>15</v>
      </c>
      <c r="H426" s="140"/>
      <c r="I426" s="140"/>
      <c r="J426" s="144"/>
      <c r="K426" s="144"/>
      <c r="L426" s="144"/>
    </row>
    <row r="427" spans="1:12" ht="11.25">
      <c r="A427" s="112" t="s">
        <v>567</v>
      </c>
      <c r="D427" s="98" t="s">
        <v>17</v>
      </c>
      <c r="H427" s="140"/>
      <c r="I427" s="140"/>
      <c r="J427" s="144"/>
      <c r="K427" s="144"/>
      <c r="L427" s="144"/>
    </row>
    <row r="428" spans="1:12" ht="11.25">
      <c r="A428" s="112" t="s">
        <v>568</v>
      </c>
      <c r="D428" s="98" t="s">
        <v>19</v>
      </c>
      <c r="H428" s="140"/>
      <c r="I428" s="140"/>
      <c r="J428" s="144"/>
      <c r="K428" s="144"/>
      <c r="L428" s="144"/>
    </row>
    <row r="429" spans="1:12" ht="11.25">
      <c r="A429" s="112"/>
      <c r="C429" s="98" t="s">
        <v>20</v>
      </c>
      <c r="H429" s="140"/>
      <c r="I429" s="140"/>
      <c r="J429" s="144"/>
      <c r="K429" s="144"/>
      <c r="L429" s="144"/>
    </row>
    <row r="430" spans="1:12" ht="11.25">
      <c r="A430" s="112"/>
      <c r="B430" s="98" t="s">
        <v>260</v>
      </c>
      <c r="H430" s="140"/>
      <c r="I430" s="140"/>
      <c r="J430" s="144"/>
      <c r="K430" s="144"/>
      <c r="L430" s="144"/>
    </row>
    <row r="431" spans="1:12" ht="11.25">
      <c r="A431" s="112"/>
      <c r="H431" s="140"/>
      <c r="I431" s="140"/>
      <c r="J431" s="144"/>
      <c r="K431" s="144"/>
      <c r="L431" s="144"/>
    </row>
    <row r="432" spans="1:12" ht="11.25">
      <c r="A432" s="97" t="s">
        <v>569</v>
      </c>
      <c r="B432" s="98" t="s">
        <v>286</v>
      </c>
      <c r="H432" s="147" t="s">
        <v>287</v>
      </c>
      <c r="I432" s="140"/>
      <c r="J432" s="143"/>
      <c r="K432" s="143"/>
      <c r="L432" s="143"/>
    </row>
    <row r="433" spans="1:12" ht="11.25">
      <c r="A433" s="97"/>
      <c r="C433" s="98" t="s">
        <v>31</v>
      </c>
      <c r="H433" s="147" t="s">
        <v>288</v>
      </c>
      <c r="I433" s="140"/>
      <c r="J433" s="143"/>
      <c r="K433" s="143"/>
      <c r="L433" s="143"/>
    </row>
    <row r="434" spans="1:12" ht="11.25">
      <c r="A434" s="97" t="s">
        <v>570</v>
      </c>
      <c r="D434" s="98" t="s">
        <v>177</v>
      </c>
      <c r="H434" s="147"/>
      <c r="I434" s="140"/>
      <c r="J434" s="143"/>
      <c r="K434" s="143"/>
      <c r="L434" s="143"/>
    </row>
    <row r="435" spans="1:12" ht="11.25">
      <c r="A435" s="97" t="s">
        <v>571</v>
      </c>
      <c r="D435" s="98" t="s">
        <v>178</v>
      </c>
      <c r="H435" s="147"/>
      <c r="I435" s="140"/>
      <c r="J435" s="143"/>
      <c r="K435" s="143"/>
      <c r="L435" s="143"/>
    </row>
    <row r="436" spans="1:12" ht="15.75" customHeight="1">
      <c r="A436" s="112"/>
      <c r="C436" s="98" t="s">
        <v>10</v>
      </c>
      <c r="H436" s="147" t="s">
        <v>209</v>
      </c>
      <c r="I436" s="140"/>
      <c r="J436" s="144"/>
      <c r="K436" s="144"/>
      <c r="L436" s="144"/>
    </row>
    <row r="437" spans="1:12" ht="22.5">
      <c r="A437" s="112" t="s">
        <v>572</v>
      </c>
      <c r="D437" s="98" t="s">
        <v>11</v>
      </c>
      <c r="H437" s="147" t="s">
        <v>289</v>
      </c>
      <c r="I437" s="140"/>
      <c r="J437" s="143"/>
      <c r="K437" s="143"/>
      <c r="L437" s="143"/>
    </row>
    <row r="438" spans="1:12" ht="11.25">
      <c r="A438" s="112" t="s">
        <v>573</v>
      </c>
      <c r="D438" s="98" t="s">
        <v>12</v>
      </c>
      <c r="H438" s="147"/>
      <c r="I438" s="140"/>
      <c r="J438" s="143"/>
      <c r="K438" s="143"/>
      <c r="L438" s="143"/>
    </row>
    <row r="439" spans="1:12" ht="11.25">
      <c r="A439" s="112" t="s">
        <v>574</v>
      </c>
      <c r="D439" s="98" t="s">
        <v>13</v>
      </c>
      <c r="H439" s="140"/>
      <c r="I439" s="140"/>
      <c r="K439" s="143"/>
      <c r="L439" s="143"/>
    </row>
    <row r="440" spans="1:12" ht="33.75">
      <c r="A440" s="112" t="s">
        <v>575</v>
      </c>
      <c r="D440" s="98" t="s">
        <v>14</v>
      </c>
      <c r="H440" s="147" t="s">
        <v>291</v>
      </c>
      <c r="I440" s="140"/>
      <c r="J440" s="472" t="s">
        <v>629</v>
      </c>
      <c r="K440" s="143"/>
      <c r="L440" s="143"/>
    </row>
    <row r="441" spans="1:12" ht="11.25">
      <c r="A441" s="112"/>
      <c r="C441" s="98" t="s">
        <v>15</v>
      </c>
      <c r="H441" s="147"/>
      <c r="I441" s="140"/>
      <c r="J441" s="144"/>
      <c r="K441" s="143"/>
      <c r="L441" s="143"/>
    </row>
    <row r="442" spans="1:12" ht="11.25">
      <c r="A442" s="112" t="s">
        <v>576</v>
      </c>
      <c r="D442" s="98" t="s">
        <v>11</v>
      </c>
      <c r="H442" s="147"/>
      <c r="I442" s="140"/>
      <c r="J442" s="144"/>
      <c r="K442" s="143"/>
      <c r="L442" s="143"/>
    </row>
    <row r="443" spans="1:12" ht="11.25">
      <c r="A443" s="112" t="s">
        <v>577</v>
      </c>
      <c r="D443" s="98" t="s">
        <v>12</v>
      </c>
      <c r="H443" s="147"/>
      <c r="I443" s="140"/>
      <c r="J443" s="144"/>
      <c r="K443" s="143"/>
      <c r="L443" s="143"/>
    </row>
    <row r="444" spans="1:12" ht="11.25">
      <c r="A444" s="112" t="s">
        <v>578</v>
      </c>
      <c r="D444" s="98" t="s">
        <v>13</v>
      </c>
      <c r="H444" s="147"/>
      <c r="I444" s="140"/>
      <c r="J444" s="144"/>
      <c r="K444" s="143"/>
      <c r="L444" s="143"/>
    </row>
    <row r="445" spans="1:12" ht="11.25">
      <c r="A445" s="112" t="s">
        <v>579</v>
      </c>
      <c r="D445" s="98" t="s">
        <v>14</v>
      </c>
      <c r="H445" s="147"/>
      <c r="I445" s="140"/>
      <c r="J445" s="144"/>
      <c r="K445" s="143"/>
      <c r="L445" s="143"/>
    </row>
    <row r="446" spans="1:12" ht="11.25">
      <c r="A446" s="112"/>
      <c r="C446" s="98" t="s">
        <v>16</v>
      </c>
      <c r="H446" s="147"/>
      <c r="I446" s="140"/>
      <c r="J446" s="144"/>
      <c r="K446" s="143"/>
      <c r="L446" s="143"/>
    </row>
    <row r="447" spans="1:12" ht="11.25">
      <c r="A447" s="112"/>
      <c r="C447" s="98" t="s">
        <v>10</v>
      </c>
      <c r="H447" s="140"/>
      <c r="I447" s="140"/>
      <c r="J447" s="144"/>
      <c r="K447" s="143"/>
      <c r="L447" s="143"/>
    </row>
    <row r="448" spans="1:12" ht="11.25">
      <c r="A448" s="112" t="s">
        <v>580</v>
      </c>
      <c r="D448" s="98" t="s">
        <v>17</v>
      </c>
      <c r="H448" s="140"/>
      <c r="I448" s="140"/>
      <c r="J448" s="144"/>
      <c r="K448" s="143"/>
      <c r="L448" s="143"/>
    </row>
    <row r="449" spans="1:12" ht="22.5">
      <c r="A449" s="112" t="s">
        <v>581</v>
      </c>
      <c r="D449" s="98" t="s">
        <v>18</v>
      </c>
      <c r="H449" s="147" t="s">
        <v>290</v>
      </c>
      <c r="I449" s="140"/>
      <c r="J449" s="472" t="s">
        <v>630</v>
      </c>
      <c r="K449" s="143"/>
      <c r="L449" s="143"/>
    </row>
    <row r="450" spans="1:12" ht="11.25">
      <c r="A450" s="112"/>
      <c r="C450" s="98" t="s">
        <v>15</v>
      </c>
      <c r="H450" s="140"/>
      <c r="I450" s="140"/>
      <c r="J450" s="144"/>
      <c r="K450" s="144"/>
      <c r="L450" s="144"/>
    </row>
    <row r="451" spans="1:12" ht="11.25">
      <c r="A451" s="112" t="s">
        <v>582</v>
      </c>
      <c r="D451" s="98" t="s">
        <v>17</v>
      </c>
      <c r="H451" s="140"/>
      <c r="I451" s="140"/>
      <c r="J451" s="144"/>
      <c r="K451" s="144"/>
      <c r="L451" s="144"/>
    </row>
    <row r="452" spans="1:12" ht="11.25">
      <c r="A452" s="112" t="s">
        <v>583</v>
      </c>
      <c r="D452" s="98" t="s">
        <v>19</v>
      </c>
      <c r="H452" s="140"/>
      <c r="I452" s="140"/>
      <c r="J452" s="144"/>
      <c r="K452" s="144"/>
      <c r="L452" s="144"/>
    </row>
    <row r="453" spans="1:12" ht="11.25">
      <c r="A453" s="112"/>
      <c r="C453" s="98" t="s">
        <v>20</v>
      </c>
      <c r="H453" s="140"/>
      <c r="I453" s="140"/>
      <c r="J453" s="144"/>
      <c r="K453" s="144"/>
      <c r="L453" s="144"/>
    </row>
    <row r="454" spans="1:12" ht="11.25">
      <c r="A454" s="112"/>
      <c r="B454" s="98" t="s">
        <v>220</v>
      </c>
      <c r="H454" s="140"/>
      <c r="I454" s="140"/>
      <c r="J454" s="144"/>
      <c r="K454" s="144"/>
      <c r="L454" s="144"/>
    </row>
    <row r="455" spans="1:12" ht="11.25">
      <c r="A455" s="112"/>
      <c r="H455" s="140"/>
      <c r="I455" s="140"/>
      <c r="J455" s="144"/>
      <c r="K455" s="144"/>
      <c r="L455" s="144"/>
    </row>
    <row r="456" spans="1:12" ht="11.25">
      <c r="A456" s="97" t="s">
        <v>584</v>
      </c>
      <c r="B456" s="98" t="s">
        <v>292</v>
      </c>
      <c r="H456" s="147" t="s">
        <v>294</v>
      </c>
      <c r="I456" s="140"/>
      <c r="J456" s="143"/>
      <c r="K456" s="143"/>
      <c r="L456" s="143"/>
    </row>
    <row r="457" spans="1:12" ht="18" customHeight="1">
      <c r="A457" s="97"/>
      <c r="C457" s="98" t="s">
        <v>31</v>
      </c>
      <c r="H457" s="147" t="s">
        <v>209</v>
      </c>
      <c r="I457" s="140"/>
      <c r="J457" s="143"/>
      <c r="K457" s="143"/>
      <c r="L457" s="143"/>
    </row>
    <row r="458" spans="1:12" ht="22.5">
      <c r="A458" s="97" t="s">
        <v>585</v>
      </c>
      <c r="D458" s="98" t="s">
        <v>177</v>
      </c>
      <c r="H458" s="147" t="s">
        <v>296</v>
      </c>
      <c r="I458" s="140"/>
      <c r="J458" s="143"/>
      <c r="K458" s="143"/>
      <c r="L458" s="143"/>
    </row>
    <row r="459" spans="1:12" ht="11.25">
      <c r="A459" s="97" t="s">
        <v>586</v>
      </c>
      <c r="D459" s="98" t="s">
        <v>178</v>
      </c>
      <c r="H459" s="147" t="s">
        <v>295</v>
      </c>
      <c r="I459" s="140"/>
      <c r="J459" s="143"/>
      <c r="K459" s="143"/>
      <c r="L459" s="143"/>
    </row>
    <row r="460" spans="1:12" ht="11.25">
      <c r="A460" s="112"/>
      <c r="C460" s="98" t="s">
        <v>10</v>
      </c>
      <c r="H460" s="147"/>
      <c r="I460" s="140"/>
      <c r="J460" s="144"/>
      <c r="K460" s="144"/>
      <c r="L460" s="144"/>
    </row>
    <row r="461" spans="1:12" ht="45">
      <c r="A461" s="112" t="s">
        <v>587</v>
      </c>
      <c r="D461" s="98" t="s">
        <v>11</v>
      </c>
      <c r="H461" s="147" t="s">
        <v>297</v>
      </c>
      <c r="I461" s="140"/>
      <c r="J461" s="143"/>
      <c r="K461" s="143"/>
      <c r="L461" s="143"/>
    </row>
    <row r="462" spans="1:12" ht="11.25">
      <c r="A462" s="112" t="s">
        <v>588</v>
      </c>
      <c r="D462" s="98" t="s">
        <v>12</v>
      </c>
      <c r="H462" s="147"/>
      <c r="I462" s="140"/>
      <c r="J462" s="143"/>
      <c r="K462" s="143"/>
      <c r="L462" s="143"/>
    </row>
    <row r="463" spans="1:12" ht="11.25">
      <c r="A463" s="112" t="s">
        <v>589</v>
      </c>
      <c r="D463" s="98" t="s">
        <v>13</v>
      </c>
      <c r="H463" s="147"/>
      <c r="I463" s="140"/>
      <c r="J463" s="143"/>
      <c r="K463" s="143"/>
      <c r="L463" s="143"/>
    </row>
    <row r="464" spans="1:12" ht="33.75">
      <c r="A464" s="112" t="s">
        <v>590</v>
      </c>
      <c r="D464" s="98" t="s">
        <v>14</v>
      </c>
      <c r="H464" s="147" t="s">
        <v>298</v>
      </c>
      <c r="I464" s="140"/>
      <c r="J464" s="472" t="s">
        <v>629</v>
      </c>
      <c r="K464" s="143"/>
      <c r="L464" s="143"/>
    </row>
    <row r="465" spans="1:12" ht="11.25">
      <c r="A465" s="112"/>
      <c r="C465" s="98" t="s">
        <v>15</v>
      </c>
      <c r="H465" s="147"/>
      <c r="I465" s="140"/>
      <c r="J465" s="144"/>
      <c r="K465" s="143"/>
      <c r="L465" s="143"/>
    </row>
    <row r="466" spans="1:12" ht="11.25">
      <c r="A466" s="112" t="s">
        <v>591</v>
      </c>
      <c r="D466" s="98" t="s">
        <v>11</v>
      </c>
      <c r="H466" s="147"/>
      <c r="I466" s="140"/>
      <c r="J466" s="144"/>
      <c r="K466" s="143"/>
      <c r="L466" s="143"/>
    </row>
    <row r="467" spans="1:12" ht="11.25">
      <c r="A467" s="112" t="s">
        <v>592</v>
      </c>
      <c r="D467" s="98" t="s">
        <v>12</v>
      </c>
      <c r="H467" s="147"/>
      <c r="I467" s="140"/>
      <c r="J467" s="144"/>
      <c r="K467" s="143"/>
      <c r="L467" s="143"/>
    </row>
    <row r="468" spans="1:12" ht="11.25">
      <c r="A468" s="112" t="s">
        <v>593</v>
      </c>
      <c r="D468" s="98" t="s">
        <v>13</v>
      </c>
      <c r="H468" s="147"/>
      <c r="I468" s="140"/>
      <c r="J468" s="144"/>
      <c r="K468" s="143"/>
      <c r="L468" s="143"/>
    </row>
    <row r="469" spans="1:12" ht="11.25">
      <c r="A469" s="112" t="s">
        <v>594</v>
      </c>
      <c r="D469" s="98" t="s">
        <v>14</v>
      </c>
      <c r="H469" s="147"/>
      <c r="I469" s="140"/>
      <c r="J469" s="144"/>
      <c r="K469" s="143"/>
      <c r="L469" s="143"/>
    </row>
    <row r="470" spans="1:12" ht="11.25">
      <c r="A470" s="112"/>
      <c r="C470" s="98" t="s">
        <v>16</v>
      </c>
      <c r="H470" s="147"/>
      <c r="I470" s="140"/>
      <c r="J470" s="144"/>
      <c r="K470" s="143"/>
      <c r="L470" s="143"/>
    </row>
    <row r="471" spans="1:12" ht="11.25">
      <c r="A471" s="112"/>
      <c r="C471" s="98" t="s">
        <v>10</v>
      </c>
      <c r="H471" s="140"/>
      <c r="I471" s="140"/>
      <c r="J471" s="144"/>
      <c r="K471" s="143"/>
      <c r="L471" s="143"/>
    </row>
    <row r="472" spans="1:12" ht="11.25">
      <c r="A472" s="112" t="s">
        <v>595</v>
      </c>
      <c r="D472" s="98" t="s">
        <v>17</v>
      </c>
      <c r="H472" s="140"/>
      <c r="I472" s="140"/>
      <c r="J472" s="144"/>
      <c r="K472" s="143"/>
      <c r="L472" s="143"/>
    </row>
    <row r="473" spans="1:12" ht="22.5">
      <c r="A473" s="112" t="s">
        <v>596</v>
      </c>
      <c r="D473" s="98" t="s">
        <v>18</v>
      </c>
      <c r="H473" s="147" t="s">
        <v>299</v>
      </c>
      <c r="I473" s="140"/>
      <c r="J473" s="472" t="s">
        <v>630</v>
      </c>
      <c r="K473" s="143"/>
      <c r="L473" s="143"/>
    </row>
    <row r="474" spans="1:12" ht="11.25">
      <c r="A474" s="112"/>
      <c r="C474" s="98" t="s">
        <v>15</v>
      </c>
      <c r="H474" s="140"/>
      <c r="I474" s="140"/>
      <c r="J474" s="144"/>
      <c r="K474" s="144"/>
      <c r="L474" s="144"/>
    </row>
    <row r="475" spans="1:12" ht="11.25">
      <c r="A475" s="112" t="s">
        <v>597</v>
      </c>
      <c r="D475" s="98" t="s">
        <v>17</v>
      </c>
      <c r="H475" s="140"/>
      <c r="I475" s="140"/>
      <c r="J475" s="144"/>
      <c r="K475" s="144"/>
      <c r="L475" s="144"/>
    </row>
    <row r="476" spans="1:12" ht="11.25">
      <c r="A476" s="112" t="s">
        <v>598</v>
      </c>
      <c r="D476" s="98" t="s">
        <v>19</v>
      </c>
      <c r="H476" s="140"/>
      <c r="I476" s="140"/>
      <c r="J476" s="144"/>
      <c r="K476" s="144"/>
      <c r="L476" s="144"/>
    </row>
    <row r="477" spans="1:12" ht="11.25">
      <c r="A477" s="112"/>
      <c r="C477" s="98" t="s">
        <v>20</v>
      </c>
      <c r="H477" s="140"/>
      <c r="I477" s="140"/>
      <c r="J477" s="144"/>
      <c r="K477" s="144"/>
      <c r="L477" s="144"/>
    </row>
    <row r="478" spans="1:12" ht="11.25">
      <c r="A478" s="112"/>
      <c r="B478" s="98" t="s">
        <v>293</v>
      </c>
      <c r="H478" s="140"/>
      <c r="I478" s="140"/>
      <c r="J478" s="144"/>
      <c r="K478" s="144"/>
      <c r="L478" s="144"/>
    </row>
    <row r="479" spans="1:12" ht="11.25">
      <c r="A479" s="112"/>
      <c r="H479" s="140"/>
      <c r="I479" s="140"/>
      <c r="J479" s="144"/>
      <c r="K479" s="144"/>
      <c r="L479" s="144"/>
    </row>
    <row r="480" spans="1:12" ht="11.25">
      <c r="A480" s="97" t="s">
        <v>599</v>
      </c>
      <c r="B480" s="98" t="s">
        <v>349</v>
      </c>
      <c r="H480" s="147" t="s">
        <v>351</v>
      </c>
      <c r="I480" s="140"/>
      <c r="J480" s="143"/>
      <c r="K480" s="143"/>
      <c r="L480" s="143"/>
    </row>
    <row r="481" spans="1:12" ht="11.25">
      <c r="A481" s="97"/>
      <c r="C481" s="98" t="s">
        <v>31</v>
      </c>
      <c r="H481" s="147"/>
      <c r="I481" s="140"/>
      <c r="J481" s="143"/>
      <c r="K481" s="143"/>
      <c r="L481" s="143"/>
    </row>
    <row r="482" spans="1:12" ht="45">
      <c r="A482" s="97" t="s">
        <v>600</v>
      </c>
      <c r="D482" s="98" t="s">
        <v>177</v>
      </c>
      <c r="H482" s="147" t="s">
        <v>350</v>
      </c>
      <c r="I482" s="140"/>
      <c r="J482" s="143"/>
      <c r="K482" s="143"/>
      <c r="L482" s="143"/>
    </row>
    <row r="483" spans="1:12" ht="22.5">
      <c r="A483" s="97" t="s">
        <v>601</v>
      </c>
      <c r="D483" s="98" t="s">
        <v>178</v>
      </c>
      <c r="H483" s="147" t="s">
        <v>311</v>
      </c>
      <c r="I483" s="140"/>
      <c r="J483" s="143"/>
      <c r="K483" s="143"/>
      <c r="L483" s="143"/>
    </row>
    <row r="484" spans="1:12" ht="11.25">
      <c r="A484" s="112"/>
      <c r="C484" s="98" t="s">
        <v>10</v>
      </c>
      <c r="H484" s="147" t="s">
        <v>209</v>
      </c>
      <c r="I484" s="140"/>
      <c r="J484" s="144"/>
      <c r="K484" s="144"/>
      <c r="L484" s="144"/>
    </row>
    <row r="485" spans="1:12" ht="33.75">
      <c r="A485" s="112" t="s">
        <v>602</v>
      </c>
      <c r="D485" s="98" t="s">
        <v>11</v>
      </c>
      <c r="H485" s="147" t="s">
        <v>312</v>
      </c>
      <c r="I485" s="140"/>
      <c r="J485" s="143"/>
      <c r="K485" s="143"/>
      <c r="L485" s="143"/>
    </row>
    <row r="486" spans="1:12" ht="11.25">
      <c r="A486" s="112" t="s">
        <v>603</v>
      </c>
      <c r="D486" s="98" t="s">
        <v>12</v>
      </c>
      <c r="H486" s="147"/>
      <c r="I486" s="140"/>
      <c r="J486" s="143"/>
      <c r="K486" s="143"/>
      <c r="L486" s="143"/>
    </row>
    <row r="487" spans="1:12" ht="11.25">
      <c r="A487" s="112" t="s">
        <v>604</v>
      </c>
      <c r="D487" s="98" t="s">
        <v>13</v>
      </c>
      <c r="H487" s="147"/>
      <c r="I487" s="140"/>
      <c r="J487" s="143"/>
      <c r="K487" s="143"/>
      <c r="L487" s="143"/>
    </row>
    <row r="488" spans="1:12" ht="33.75">
      <c r="A488" s="112" t="s">
        <v>605</v>
      </c>
      <c r="D488" s="98" t="s">
        <v>14</v>
      </c>
      <c r="H488" s="147" t="s">
        <v>313</v>
      </c>
      <c r="I488" s="140"/>
      <c r="J488" s="472" t="s">
        <v>629</v>
      </c>
      <c r="K488" s="143"/>
      <c r="L488" s="143"/>
    </row>
    <row r="489" spans="1:12" ht="11.25">
      <c r="A489" s="112"/>
      <c r="C489" s="98" t="s">
        <v>15</v>
      </c>
      <c r="H489" s="147"/>
      <c r="I489" s="140"/>
      <c r="J489" s="144"/>
      <c r="K489" s="143"/>
      <c r="L489" s="143"/>
    </row>
    <row r="490" spans="1:12" ht="11.25">
      <c r="A490" s="112" t="s">
        <v>606</v>
      </c>
      <c r="D490" s="98" t="s">
        <v>11</v>
      </c>
      <c r="H490" s="147"/>
      <c r="I490" s="140"/>
      <c r="J490" s="144"/>
      <c r="K490" s="143"/>
      <c r="L490" s="143"/>
    </row>
    <row r="491" spans="1:12" ht="11.25">
      <c r="A491" s="112" t="s">
        <v>607</v>
      </c>
      <c r="D491" s="98" t="s">
        <v>12</v>
      </c>
      <c r="H491" s="147"/>
      <c r="I491" s="140"/>
      <c r="J491" s="144"/>
      <c r="K491" s="143"/>
      <c r="L491" s="143"/>
    </row>
    <row r="492" spans="1:12" ht="11.25">
      <c r="A492" s="112" t="s">
        <v>608</v>
      </c>
      <c r="D492" s="98" t="s">
        <v>13</v>
      </c>
      <c r="H492" s="147"/>
      <c r="I492" s="140"/>
      <c r="J492" s="144"/>
      <c r="K492" s="143"/>
      <c r="L492" s="143"/>
    </row>
    <row r="493" spans="1:12" ht="11.25">
      <c r="A493" s="112" t="s">
        <v>609</v>
      </c>
      <c r="D493" s="98" t="s">
        <v>14</v>
      </c>
      <c r="H493" s="147"/>
      <c r="I493" s="140"/>
      <c r="J493" s="144"/>
      <c r="K493" s="143"/>
      <c r="L493" s="143"/>
    </row>
    <row r="494" spans="1:12" ht="11.25">
      <c r="A494" s="112"/>
      <c r="C494" s="98" t="s">
        <v>16</v>
      </c>
      <c r="H494" s="147"/>
      <c r="I494" s="140"/>
      <c r="J494" s="144"/>
      <c r="K494" s="143"/>
      <c r="L494" s="143"/>
    </row>
    <row r="495" spans="1:12" ht="11.25">
      <c r="A495" s="112"/>
      <c r="C495" s="98" t="s">
        <v>10</v>
      </c>
      <c r="H495" s="140"/>
      <c r="I495" s="140"/>
      <c r="J495" s="144"/>
      <c r="K495" s="143"/>
      <c r="L495" s="143"/>
    </row>
    <row r="496" spans="1:12" ht="11.25">
      <c r="A496" s="112" t="s">
        <v>610</v>
      </c>
      <c r="D496" s="98" t="s">
        <v>17</v>
      </c>
      <c r="H496" s="140"/>
      <c r="I496" s="140"/>
      <c r="J496" s="144"/>
      <c r="K496" s="143"/>
      <c r="L496" s="143"/>
    </row>
    <row r="497" spans="1:12" ht="22.5">
      <c r="A497" s="112" t="s">
        <v>611</v>
      </c>
      <c r="D497" s="98" t="s">
        <v>18</v>
      </c>
      <c r="H497" s="147" t="s">
        <v>314</v>
      </c>
      <c r="I497" s="140"/>
      <c r="J497" s="472" t="s">
        <v>630</v>
      </c>
      <c r="K497" s="143"/>
      <c r="L497" s="143"/>
    </row>
    <row r="498" spans="1:12" ht="11.25">
      <c r="A498" s="112"/>
      <c r="C498" s="98" t="s">
        <v>15</v>
      </c>
      <c r="H498" s="140"/>
      <c r="I498" s="140"/>
      <c r="J498" s="144"/>
      <c r="K498" s="144"/>
      <c r="L498" s="144"/>
    </row>
    <row r="499" spans="1:12" ht="11.25">
      <c r="A499" s="112" t="s">
        <v>612</v>
      </c>
      <c r="D499" s="98" t="s">
        <v>17</v>
      </c>
      <c r="H499" s="140"/>
      <c r="I499" s="140"/>
      <c r="J499" s="144"/>
      <c r="K499" s="144"/>
      <c r="L499" s="144"/>
    </row>
    <row r="500" spans="1:12" ht="11.25">
      <c r="A500" s="112" t="s">
        <v>613</v>
      </c>
      <c r="D500" s="98" t="s">
        <v>19</v>
      </c>
      <c r="H500" s="140"/>
      <c r="I500" s="140"/>
      <c r="J500" s="144"/>
      <c r="K500" s="144"/>
      <c r="L500" s="144"/>
    </row>
    <row r="501" spans="1:12" ht="11.25">
      <c r="A501" s="112"/>
      <c r="C501" s="98" t="s">
        <v>20</v>
      </c>
      <c r="H501" s="140"/>
      <c r="I501" s="140"/>
      <c r="J501" s="144"/>
      <c r="K501" s="144"/>
      <c r="L501" s="144"/>
    </row>
    <row r="502" spans="1:12" ht="11.25">
      <c r="A502" s="112"/>
      <c r="B502" s="98" t="s">
        <v>310</v>
      </c>
      <c r="H502" s="140"/>
      <c r="I502" s="140"/>
      <c r="J502" s="144"/>
      <c r="K502" s="144"/>
      <c r="L502" s="144"/>
    </row>
    <row r="503" spans="1:12" ht="12" thickBot="1">
      <c r="A503" s="97"/>
      <c r="H503" s="140"/>
      <c r="I503" s="140"/>
      <c r="J503" s="143"/>
      <c r="K503" s="143"/>
      <c r="L503" s="143"/>
    </row>
    <row r="504" spans="1:12" ht="12" thickTop="1">
      <c r="A504" s="125"/>
      <c r="B504" s="93" t="s">
        <v>192</v>
      </c>
      <c r="C504" s="179"/>
      <c r="D504" s="179"/>
      <c r="E504" s="179"/>
      <c r="F504" s="179"/>
      <c r="G504" s="179"/>
      <c r="H504" s="180"/>
      <c r="I504" s="180"/>
      <c r="J504" s="146"/>
      <c r="K504" s="146"/>
      <c r="L504" s="146"/>
    </row>
    <row r="505" spans="1:12" ht="11.25">
      <c r="A505" s="97"/>
      <c r="H505" s="140"/>
      <c r="I505" s="140"/>
      <c r="J505" s="144"/>
      <c r="K505" s="144"/>
      <c r="L505" s="144"/>
    </row>
    <row r="506" spans="1:12" ht="12">
      <c r="A506" s="97">
        <v>4</v>
      </c>
      <c r="B506" s="37" t="s">
        <v>32</v>
      </c>
      <c r="C506" s="37"/>
      <c r="D506" s="37"/>
      <c r="E506" s="37"/>
      <c r="F506" s="37"/>
      <c r="H506" s="140"/>
      <c r="I506" s="140"/>
      <c r="J506" s="147"/>
      <c r="K506" s="147"/>
      <c r="L506" s="147"/>
    </row>
    <row r="507" spans="1:12" ht="22.5">
      <c r="A507" s="97" t="s">
        <v>54</v>
      </c>
      <c r="B507" s="98" t="s">
        <v>102</v>
      </c>
      <c r="H507" s="147" t="s">
        <v>237</v>
      </c>
      <c r="I507" s="140"/>
      <c r="J507" s="147"/>
      <c r="K507" s="147"/>
      <c r="L507" s="147"/>
    </row>
    <row r="508" spans="1:12" ht="11.25">
      <c r="A508" s="97"/>
      <c r="H508" s="140"/>
      <c r="I508" s="140"/>
      <c r="J508" s="147"/>
      <c r="K508" s="147"/>
      <c r="L508" s="147"/>
    </row>
    <row r="509" spans="1:12" ht="11.25">
      <c r="A509" s="97" t="s">
        <v>55</v>
      </c>
      <c r="B509" s="98" t="s">
        <v>101</v>
      </c>
      <c r="H509" s="140"/>
      <c r="I509" s="140"/>
      <c r="J509" s="147"/>
      <c r="K509" s="147"/>
      <c r="L509" s="147"/>
    </row>
    <row r="510" spans="1:12" ht="12" thickBot="1">
      <c r="A510" s="97"/>
      <c r="H510" s="140"/>
      <c r="I510" s="178"/>
      <c r="J510" s="148"/>
      <c r="K510" s="148"/>
      <c r="L510" s="148"/>
    </row>
    <row r="511" spans="1:12" ht="12" thickTop="1">
      <c r="A511" s="125"/>
      <c r="B511" s="179" t="s">
        <v>33</v>
      </c>
      <c r="C511" s="179"/>
      <c r="D511" s="179"/>
      <c r="E511" s="179"/>
      <c r="F511" s="179"/>
      <c r="G511" s="179"/>
      <c r="H511" s="180"/>
      <c r="I511" s="140"/>
      <c r="J511" s="149"/>
      <c r="K511" s="149"/>
      <c r="L511" s="149"/>
    </row>
    <row r="512" spans="1:12" ht="11.25">
      <c r="A512" s="97"/>
      <c r="H512" s="140"/>
      <c r="I512" s="181"/>
      <c r="J512" s="143"/>
      <c r="K512" s="143"/>
      <c r="L512" s="143"/>
    </row>
    <row r="513" spans="1:12" ht="12">
      <c r="A513" s="97">
        <v>5</v>
      </c>
      <c r="B513" s="35" t="s">
        <v>34</v>
      </c>
      <c r="C513" s="35"/>
      <c r="D513" s="35"/>
      <c r="E513" s="35"/>
      <c r="F513" s="35"/>
      <c r="G513" s="35"/>
      <c r="H513" s="140"/>
      <c r="I513" s="140"/>
      <c r="J513" s="143"/>
      <c r="K513" s="143"/>
      <c r="L513" s="143"/>
    </row>
    <row r="514" spans="1:12" ht="23.25">
      <c r="A514" s="346" t="s">
        <v>57</v>
      </c>
      <c r="B514" s="98" t="s">
        <v>232</v>
      </c>
      <c r="C514" s="35"/>
      <c r="D514" s="35"/>
      <c r="E514" s="35"/>
      <c r="F514" s="35"/>
      <c r="G514" s="35"/>
      <c r="H514" s="147" t="s">
        <v>233</v>
      </c>
      <c r="I514" s="140"/>
      <c r="J514" s="143"/>
      <c r="K514" s="143"/>
      <c r="L514" s="143"/>
    </row>
    <row r="515" spans="1:12" ht="12">
      <c r="A515" s="97" t="s">
        <v>58</v>
      </c>
      <c r="B515" s="98" t="s">
        <v>35</v>
      </c>
      <c r="H515" s="147" t="s">
        <v>315</v>
      </c>
      <c r="I515" s="141"/>
      <c r="J515" s="143"/>
      <c r="K515" s="143"/>
      <c r="L515" s="143"/>
    </row>
    <row r="516" spans="1:12" ht="11.25">
      <c r="A516" s="97" t="s">
        <v>59</v>
      </c>
      <c r="B516" s="98" t="s">
        <v>36</v>
      </c>
      <c r="H516" s="147"/>
      <c r="I516" s="140"/>
      <c r="J516" s="143"/>
      <c r="K516" s="143"/>
      <c r="L516" s="143"/>
    </row>
    <row r="517" spans="1:12" ht="11.25">
      <c r="A517" s="97" t="s">
        <v>60</v>
      </c>
      <c r="B517" s="98" t="s">
        <v>37</v>
      </c>
      <c r="H517" s="147"/>
      <c r="I517" s="140"/>
      <c r="J517" s="143"/>
      <c r="K517" s="143"/>
      <c r="L517" s="143"/>
    </row>
    <row r="518" spans="1:12" ht="11.25">
      <c r="A518" s="97" t="s">
        <v>110</v>
      </c>
      <c r="B518" s="98" t="s">
        <v>38</v>
      </c>
      <c r="H518" s="140"/>
      <c r="I518" s="140"/>
      <c r="J518" s="147"/>
      <c r="K518" s="147"/>
      <c r="L518" s="147"/>
    </row>
    <row r="519" spans="1:12" ht="45">
      <c r="A519" s="97" t="s">
        <v>111</v>
      </c>
      <c r="B519" s="98" t="s">
        <v>39</v>
      </c>
      <c r="H519" s="140"/>
      <c r="I519" s="140"/>
      <c r="J519" s="143" t="s">
        <v>638</v>
      </c>
      <c r="K519" s="143" t="s">
        <v>642</v>
      </c>
      <c r="L519" s="143" t="s">
        <v>643</v>
      </c>
    </row>
    <row r="520" spans="1:12" ht="12" thickBot="1">
      <c r="A520" s="105" t="s">
        <v>112</v>
      </c>
      <c r="B520" s="177" t="s">
        <v>40</v>
      </c>
      <c r="C520" s="177"/>
      <c r="D520" s="177"/>
      <c r="E520" s="177"/>
      <c r="F520" s="177"/>
      <c r="G520" s="177"/>
      <c r="H520" s="140"/>
      <c r="I520" s="178"/>
      <c r="J520" s="145"/>
      <c r="K520" s="145"/>
      <c r="L520" s="145"/>
    </row>
    <row r="521" spans="1:12" ht="12" thickTop="1">
      <c r="A521" s="106"/>
      <c r="B521" s="179" t="s">
        <v>41</v>
      </c>
      <c r="C521" s="179"/>
      <c r="D521" s="179"/>
      <c r="E521" s="179"/>
      <c r="F521" s="179"/>
      <c r="G521" s="179"/>
      <c r="H521" s="180"/>
      <c r="I521" s="140"/>
      <c r="J521" s="143"/>
      <c r="K521" s="143"/>
      <c r="L521" s="143"/>
    </row>
    <row r="522" spans="1:12" ht="12" thickBot="1">
      <c r="A522" s="105"/>
      <c r="B522" s="177"/>
      <c r="C522" s="177"/>
      <c r="D522" s="177"/>
      <c r="E522" s="177"/>
      <c r="F522" s="177"/>
      <c r="G522" s="177"/>
      <c r="H522" s="140"/>
      <c r="I522" s="183"/>
      <c r="J522" s="150"/>
      <c r="K522" s="150"/>
      <c r="L522" s="150"/>
    </row>
    <row r="523" spans="1:12" ht="12" thickTop="1">
      <c r="A523" s="106"/>
      <c r="B523" s="176" t="s">
        <v>614</v>
      </c>
      <c r="C523" s="176"/>
      <c r="D523" s="172"/>
      <c r="E523" s="172"/>
      <c r="F523" s="172"/>
      <c r="G523" s="172"/>
      <c r="H523" s="185"/>
      <c r="I523" s="180"/>
      <c r="J523" s="149"/>
      <c r="K523" s="149"/>
      <c r="L523" s="149"/>
    </row>
    <row r="524" spans="1:12" ht="11.25">
      <c r="A524" s="97"/>
      <c r="H524" s="181"/>
      <c r="I524" s="140"/>
      <c r="J524" s="143"/>
      <c r="K524" s="143"/>
      <c r="L524" s="143"/>
    </row>
    <row r="525" spans="1:12" ht="12">
      <c r="A525" s="97">
        <v>6</v>
      </c>
      <c r="B525" s="37" t="s">
        <v>42</v>
      </c>
      <c r="C525" s="37"/>
      <c r="H525" s="140" t="s">
        <v>352</v>
      </c>
      <c r="I525" s="140"/>
      <c r="J525" s="143" t="s">
        <v>633</v>
      </c>
      <c r="K525" s="143" t="s">
        <v>633</v>
      </c>
      <c r="L525" s="143" t="s">
        <v>633</v>
      </c>
    </row>
    <row r="526" spans="1:12" ht="11.25">
      <c r="A526" s="97" t="s">
        <v>61</v>
      </c>
      <c r="B526" s="61" t="s">
        <v>43</v>
      </c>
      <c r="C526" s="61"/>
      <c r="G526" s="184">
        <v>0.05</v>
      </c>
      <c r="H526" s="147"/>
      <c r="I526" s="153">
        <v>0.05</v>
      </c>
      <c r="J526" s="143"/>
      <c r="K526" s="143"/>
      <c r="L526" s="143"/>
    </row>
    <row r="527" spans="1:12" ht="22.5">
      <c r="A527" s="97" t="s">
        <v>62</v>
      </c>
      <c r="B527" s="98" t="s">
        <v>44</v>
      </c>
      <c r="G527" s="184">
        <v>0.02</v>
      </c>
      <c r="H527" s="147"/>
      <c r="I527" s="327" t="s">
        <v>625</v>
      </c>
      <c r="J527" s="143"/>
      <c r="K527" s="143"/>
      <c r="L527" s="143"/>
    </row>
    <row r="528" spans="1:12" ht="45">
      <c r="A528" s="97" t="s">
        <v>63</v>
      </c>
      <c r="B528" s="98" t="s">
        <v>45</v>
      </c>
      <c r="H528" s="147"/>
      <c r="I528" s="154" t="s">
        <v>618</v>
      </c>
      <c r="J528" s="143"/>
      <c r="K528" s="143"/>
      <c r="L528" s="143"/>
    </row>
    <row r="529" spans="1:12" ht="45">
      <c r="A529" s="97" t="s">
        <v>64</v>
      </c>
      <c r="B529" s="98" t="s">
        <v>46</v>
      </c>
      <c r="H529" s="147"/>
      <c r="I529" s="154" t="s">
        <v>619</v>
      </c>
      <c r="J529" s="143"/>
      <c r="K529" s="143"/>
      <c r="L529" s="143"/>
    </row>
    <row r="530" spans="1:12" ht="33.75">
      <c r="A530" s="97" t="s">
        <v>65</v>
      </c>
      <c r="B530" s="98" t="s">
        <v>47</v>
      </c>
      <c r="G530" s="184">
        <v>0.05</v>
      </c>
      <c r="H530" s="147" t="s">
        <v>353</v>
      </c>
      <c r="I530" s="154" t="s">
        <v>620</v>
      </c>
      <c r="J530" s="143"/>
      <c r="K530" s="143"/>
      <c r="L530" s="143"/>
    </row>
    <row r="531" spans="1:12" ht="11.25">
      <c r="A531" s="97" t="s">
        <v>158</v>
      </c>
      <c r="B531" s="98" t="s">
        <v>48</v>
      </c>
      <c r="G531" s="184">
        <v>0.05</v>
      </c>
      <c r="H531" s="147" t="s">
        <v>353</v>
      </c>
      <c r="I531" s="320">
        <v>0.1</v>
      </c>
      <c r="J531" s="143"/>
      <c r="K531" s="143"/>
      <c r="L531" s="143"/>
    </row>
    <row r="532" spans="1:12" ht="33.75">
      <c r="A532" s="97" t="s">
        <v>615</v>
      </c>
      <c r="B532" s="98" t="s">
        <v>49</v>
      </c>
      <c r="G532" s="184">
        <v>0.03</v>
      </c>
      <c r="H532" s="147"/>
      <c r="I532" s="154" t="s">
        <v>626</v>
      </c>
      <c r="J532" s="143"/>
      <c r="K532" s="143"/>
      <c r="L532" s="143"/>
    </row>
    <row r="533" spans="1:12" ht="11.25">
      <c r="A533" s="97" t="s">
        <v>616</v>
      </c>
      <c r="B533" s="98" t="s">
        <v>196</v>
      </c>
      <c r="G533" s="184"/>
      <c r="H533" s="147"/>
      <c r="I533" s="327">
        <v>0.03</v>
      </c>
      <c r="J533" s="143"/>
      <c r="K533" s="143"/>
      <c r="L533" s="143"/>
    </row>
    <row r="534" spans="1:12" ht="12" thickBot="1">
      <c r="A534" s="105"/>
      <c r="B534" s="177"/>
      <c r="C534" s="177"/>
      <c r="D534" s="177"/>
      <c r="E534" s="177"/>
      <c r="F534" s="177"/>
      <c r="G534" s="177"/>
      <c r="H534" s="140"/>
      <c r="I534" s="140"/>
      <c r="J534" s="143"/>
      <c r="K534" s="143"/>
      <c r="L534" s="143"/>
    </row>
    <row r="535" spans="1:12" ht="12" thickTop="1">
      <c r="A535" s="113"/>
      <c r="B535" s="98" t="s">
        <v>50</v>
      </c>
      <c r="H535" s="185"/>
      <c r="I535" s="185"/>
      <c r="J535" s="151"/>
      <c r="K535" s="151"/>
      <c r="L535" s="151"/>
    </row>
    <row r="536" spans="1:12" ht="12" thickBot="1">
      <c r="A536" s="116"/>
      <c r="B536" s="177"/>
      <c r="C536" s="177"/>
      <c r="D536" s="177"/>
      <c r="E536" s="177"/>
      <c r="F536" s="177"/>
      <c r="G536" s="177"/>
      <c r="H536" s="140"/>
      <c r="I536" s="140"/>
      <c r="J536" s="143"/>
      <c r="K536" s="143"/>
      <c r="L536" s="143"/>
    </row>
    <row r="537" spans="1:12" ht="12" thickTop="1">
      <c r="A537" s="126" t="s">
        <v>115</v>
      </c>
      <c r="B537" s="176"/>
      <c r="C537" s="176"/>
      <c r="D537" s="176"/>
      <c r="E537" s="172"/>
      <c r="F537" s="172"/>
      <c r="G537" s="179"/>
      <c r="H537" s="185"/>
      <c r="I537" s="185"/>
      <c r="J537" s="149"/>
      <c r="K537" s="149"/>
      <c r="L537" s="149"/>
    </row>
    <row r="538" spans="1:12" ht="12" thickBot="1">
      <c r="A538" s="130"/>
      <c r="B538" s="186"/>
      <c r="H538" s="183"/>
      <c r="I538" s="183"/>
      <c r="J538" s="143"/>
      <c r="K538" s="143"/>
      <c r="L538" s="143"/>
    </row>
    <row r="539" spans="1:12" ht="12.75" thickBot="1" thickTop="1">
      <c r="A539" s="127" t="s">
        <v>5</v>
      </c>
      <c r="B539" s="187"/>
      <c r="C539" s="187"/>
      <c r="D539" s="187"/>
      <c r="E539" s="187"/>
      <c r="F539" s="187"/>
      <c r="G539" s="187"/>
      <c r="H539" s="326"/>
      <c r="I539" s="326"/>
      <c r="J539" s="326"/>
      <c r="K539" s="326"/>
      <c r="L539" s="326"/>
    </row>
    <row r="540" spans="1:12" ht="12" thickTop="1">
      <c r="A540" s="132"/>
      <c r="B540" s="188"/>
      <c r="H540" s="128"/>
      <c r="I540" s="188"/>
      <c r="J540" s="142"/>
      <c r="K540" s="142"/>
      <c r="L540" s="142"/>
    </row>
    <row r="541" spans="1:12" ht="11.25">
      <c r="A541" s="130"/>
      <c r="B541" s="128"/>
      <c r="J541" s="135"/>
      <c r="K541" s="135"/>
      <c r="L541" s="135"/>
    </row>
    <row r="542" spans="10:12" ht="11.25">
      <c r="J542" s="135"/>
      <c r="K542" s="135"/>
      <c r="L542" s="135"/>
    </row>
  </sheetData>
  <mergeCells count="6">
    <mergeCell ref="K5:K6"/>
    <mergeCell ref="L5:L6"/>
    <mergeCell ref="C5:D6"/>
    <mergeCell ref="H5:H6"/>
    <mergeCell ref="I5:I6"/>
    <mergeCell ref="J5:J6"/>
  </mergeCells>
  <printOptions/>
  <pageMargins left="0.75" right="0.75" top="1" bottom="1" header="0.5" footer="0.5"/>
  <pageSetup fitToHeight="0" fitToWidth="1" horizontalDpi="300" verticalDpi="300" orientation="portrait" scale="38" r:id="rId1"/>
  <headerFooter alignWithMargins="0">
    <oddFooter>&amp;L&amp;"Braggadocio,Regular"CSP&amp;X2&amp;RPage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zoomScale="75" zoomScaleNormal="75" zoomScaleSheetLayoutView="75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P55" sqref="P55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5" width="9.140625" style="1" customWidth="1"/>
    <col min="6" max="6" width="14.28125" style="1" customWidth="1"/>
    <col min="7" max="7" width="5.8515625" style="1" customWidth="1"/>
    <col min="8" max="8" width="21.28125" style="1" customWidth="1"/>
    <col min="9" max="9" width="5.28125" style="34" customWidth="1"/>
    <col min="10" max="10" width="16.140625" style="34" customWidth="1"/>
    <col min="11" max="11" width="5.7109375" style="34" customWidth="1"/>
    <col min="12" max="12" width="16.140625" style="34" customWidth="1"/>
    <col min="13" max="13" width="6.28125" style="34" customWidth="1"/>
    <col min="14" max="14" width="16.140625" style="34" customWidth="1"/>
    <col min="15" max="15" width="5.28125" style="34" customWidth="1"/>
    <col min="16" max="16" width="16.140625" style="34" customWidth="1"/>
    <col min="17" max="16384" width="9.140625" style="1" customWidth="1"/>
  </cols>
  <sheetData>
    <row r="1" spans="1:16" ht="12">
      <c r="A1" s="123" t="s">
        <v>205</v>
      </c>
      <c r="B1" s="123"/>
      <c r="C1" s="123"/>
      <c r="D1" s="123"/>
      <c r="E1" s="123"/>
      <c r="F1" s="123"/>
      <c r="G1" s="123"/>
      <c r="H1" s="123"/>
      <c r="I1" s="171"/>
      <c r="J1" s="171"/>
      <c r="K1" s="171"/>
      <c r="L1" s="171"/>
      <c r="M1" s="171"/>
      <c r="N1" s="171"/>
      <c r="O1" s="171"/>
      <c r="P1" s="171"/>
    </row>
    <row r="2" spans="1:15" ht="12">
      <c r="A2" s="7" t="s">
        <v>197</v>
      </c>
      <c r="B2" s="7"/>
      <c r="C2" s="7"/>
      <c r="D2" s="7"/>
      <c r="E2" s="7"/>
      <c r="F2" s="7"/>
      <c r="H2" s="3"/>
      <c r="I2" s="263"/>
      <c r="K2" s="263"/>
      <c r="M2" s="263"/>
      <c r="O2" s="263"/>
    </row>
    <row r="3" spans="8:15" ht="11.25">
      <c r="H3" s="4"/>
      <c r="I3" s="264"/>
      <c r="K3" s="264"/>
      <c r="M3" s="264"/>
      <c r="O3" s="264"/>
    </row>
    <row r="5" spans="1:16" ht="36" customHeight="1">
      <c r="A5" s="23"/>
      <c r="B5" s="6"/>
      <c r="C5" s="6"/>
      <c r="D5" s="6"/>
      <c r="E5" s="6"/>
      <c r="F5" s="6"/>
      <c r="G5" s="6"/>
      <c r="H5" s="453" t="s">
        <v>198</v>
      </c>
      <c r="I5" s="525" t="s">
        <v>174</v>
      </c>
      <c r="J5" s="530"/>
      <c r="K5" s="527" t="s">
        <v>175</v>
      </c>
      <c r="L5" s="528"/>
      <c r="M5" s="525" t="s">
        <v>184</v>
      </c>
      <c r="N5" s="526"/>
      <c r="O5" s="527" t="s">
        <v>185</v>
      </c>
      <c r="P5" s="528"/>
    </row>
    <row r="6" spans="1:18" ht="12.75" customHeight="1">
      <c r="A6" s="8" t="s">
        <v>1</v>
      </c>
      <c r="B6" s="9"/>
      <c r="C6" s="529" t="s">
        <v>0</v>
      </c>
      <c r="D6" s="529"/>
      <c r="E6" s="9"/>
      <c r="F6" s="9"/>
      <c r="G6" s="9"/>
      <c r="H6" s="454" t="s">
        <v>5</v>
      </c>
      <c r="I6" s="525" t="s">
        <v>5</v>
      </c>
      <c r="J6" s="530"/>
      <c r="K6" s="527" t="s">
        <v>5</v>
      </c>
      <c r="L6" s="528"/>
      <c r="M6" s="525" t="s">
        <v>5</v>
      </c>
      <c r="N6" s="526"/>
      <c r="O6" s="527" t="s">
        <v>5</v>
      </c>
      <c r="P6" s="528"/>
      <c r="Q6" s="155"/>
      <c r="R6" s="38"/>
    </row>
    <row r="7" spans="1:18" ht="12" customHeight="1">
      <c r="A7" s="10"/>
      <c r="H7" s="70"/>
      <c r="I7" s="449"/>
      <c r="J7" s="270"/>
      <c r="K7" s="265"/>
      <c r="L7" s="270"/>
      <c r="M7" s="265"/>
      <c r="N7" s="266"/>
      <c r="O7" s="265"/>
      <c r="P7" s="302"/>
      <c r="Q7" s="155"/>
      <c r="R7" s="38"/>
    </row>
    <row r="8" spans="1:18" ht="12" customHeight="1">
      <c r="A8" s="20">
        <v>1</v>
      </c>
      <c r="B8" s="9" t="s">
        <v>66</v>
      </c>
      <c r="C8" s="9"/>
      <c r="D8" s="9"/>
      <c r="E8" s="9"/>
      <c r="F8" s="9"/>
      <c r="G8" s="9"/>
      <c r="H8" s="455">
        <v>0</v>
      </c>
      <c r="I8" s="268"/>
      <c r="J8" s="268">
        <v>0</v>
      </c>
      <c r="K8" s="267"/>
      <c r="L8" s="268">
        <v>0</v>
      </c>
      <c r="M8" s="267"/>
      <c r="N8" s="268">
        <v>0</v>
      </c>
      <c r="O8" s="267"/>
      <c r="P8" s="303">
        <v>0</v>
      </c>
      <c r="Q8" s="155"/>
      <c r="R8" s="38"/>
    </row>
    <row r="9" spans="1:18" ht="11.25">
      <c r="A9" s="10"/>
      <c r="H9" s="70"/>
      <c r="I9" s="270"/>
      <c r="J9" s="270"/>
      <c r="K9" s="269"/>
      <c r="L9" s="270"/>
      <c r="M9" s="269"/>
      <c r="N9" s="270"/>
      <c r="O9" s="269"/>
      <c r="P9" s="304"/>
      <c r="Q9" s="155"/>
      <c r="R9" s="38"/>
    </row>
    <row r="10" spans="1:18" ht="12">
      <c r="A10" s="11">
        <v>2</v>
      </c>
      <c r="B10" s="7" t="s">
        <v>67</v>
      </c>
      <c r="C10" s="7"/>
      <c r="D10" s="7"/>
      <c r="H10" s="70"/>
      <c r="I10" s="270"/>
      <c r="J10" s="270"/>
      <c r="K10" s="269"/>
      <c r="L10" s="42">
        <v>6531840</v>
      </c>
      <c r="M10" s="269"/>
      <c r="N10" s="42">
        <v>32550000</v>
      </c>
      <c r="O10" s="269"/>
      <c r="P10" s="299">
        <v>65100000</v>
      </c>
      <c r="Q10" s="155"/>
      <c r="R10" s="38"/>
    </row>
    <row r="11" spans="1:18" ht="11.25">
      <c r="A11" s="11" t="s">
        <v>21</v>
      </c>
      <c r="B11" s="1" t="s">
        <v>68</v>
      </c>
      <c r="H11" s="68">
        <v>1020000</v>
      </c>
      <c r="I11" s="272"/>
      <c r="J11" s="42">
        <v>1020000</v>
      </c>
      <c r="K11" s="271"/>
      <c r="L11" s="272"/>
      <c r="M11" s="271"/>
      <c r="N11" s="272"/>
      <c r="O11" s="271"/>
      <c r="P11" s="286"/>
      <c r="Q11" s="155"/>
      <c r="R11" s="38"/>
    </row>
    <row r="12" spans="1:18" ht="11.25">
      <c r="A12" s="11" t="s">
        <v>22</v>
      </c>
      <c r="B12" s="1" t="s">
        <v>69</v>
      </c>
      <c r="H12" s="68">
        <v>1270000</v>
      </c>
      <c r="I12" s="272"/>
      <c r="J12" s="42">
        <v>1270000</v>
      </c>
      <c r="K12" s="271"/>
      <c r="L12" s="272"/>
      <c r="M12" s="271"/>
      <c r="N12" s="272"/>
      <c r="O12" s="271"/>
      <c r="P12" s="286"/>
      <c r="Q12" s="155"/>
      <c r="R12" s="38"/>
    </row>
    <row r="13" spans="1:18" ht="11.25">
      <c r="A13" s="11" t="s">
        <v>23</v>
      </c>
      <c r="B13" s="1" t="s">
        <v>70</v>
      </c>
      <c r="H13" s="68">
        <f>200000+550000</f>
        <v>750000</v>
      </c>
      <c r="I13" s="272"/>
      <c r="J13" s="42">
        <f>200000+550000</f>
        <v>750000</v>
      </c>
      <c r="K13" s="271"/>
      <c r="L13" s="272"/>
      <c r="M13" s="271"/>
      <c r="N13" s="272"/>
      <c r="O13" s="271"/>
      <c r="P13" s="286"/>
      <c r="Q13" s="155"/>
      <c r="R13" s="38"/>
    </row>
    <row r="14" spans="1:18" ht="11.25">
      <c r="A14" s="11" t="s">
        <v>24</v>
      </c>
      <c r="B14" s="1" t="s">
        <v>71</v>
      </c>
      <c r="H14" s="68"/>
      <c r="I14" s="272"/>
      <c r="J14" s="42"/>
      <c r="K14" s="271"/>
      <c r="L14" s="272"/>
      <c r="M14" s="271"/>
      <c r="N14" s="272"/>
      <c r="O14" s="271"/>
      <c r="P14" s="286"/>
      <c r="Q14" s="155"/>
      <c r="R14" s="38"/>
    </row>
    <row r="15" spans="1:18" ht="12" thickBot="1">
      <c r="A15" s="18" t="s">
        <v>25</v>
      </c>
      <c r="B15" s="19" t="s">
        <v>72</v>
      </c>
      <c r="C15" s="19"/>
      <c r="D15" s="19"/>
      <c r="E15" s="19"/>
      <c r="F15" s="19"/>
      <c r="G15" s="19"/>
      <c r="H15" s="456">
        <v>460000</v>
      </c>
      <c r="I15" s="272"/>
      <c r="J15" s="463">
        <v>460000</v>
      </c>
      <c r="K15" s="271"/>
      <c r="L15" s="273"/>
      <c r="M15" s="271"/>
      <c r="N15" s="273"/>
      <c r="O15" s="271"/>
      <c r="P15" s="290"/>
      <c r="Q15" s="155"/>
      <c r="R15" s="38"/>
    </row>
    <row r="16" spans="1:18" ht="12" thickTop="1">
      <c r="A16" s="20"/>
      <c r="B16" s="14" t="s">
        <v>73</v>
      </c>
      <c r="C16" s="14"/>
      <c r="D16" s="14"/>
      <c r="E16" s="14"/>
      <c r="F16" s="16"/>
      <c r="G16" s="16"/>
      <c r="H16" s="455">
        <f>SUM(H11:H15)</f>
        <v>3500000</v>
      </c>
      <c r="I16" s="275"/>
      <c r="J16" s="268">
        <f>SUM(J11:J15)</f>
        <v>3500000</v>
      </c>
      <c r="K16" s="274"/>
      <c r="L16" s="268">
        <f>SUM(L10:L15)</f>
        <v>6531840</v>
      </c>
      <c r="M16" s="274"/>
      <c r="N16" s="303">
        <f>SUM(N10:N15)</f>
        <v>32550000</v>
      </c>
      <c r="O16" s="274"/>
      <c r="P16" s="303">
        <f>SUM(P10:P15)</f>
        <v>65100000</v>
      </c>
      <c r="Q16" s="155"/>
      <c r="R16" s="38"/>
    </row>
    <row r="17" spans="1:18" ht="11.25">
      <c r="A17" s="11"/>
      <c r="H17" s="68"/>
      <c r="I17" s="272"/>
      <c r="J17" s="272"/>
      <c r="K17" s="271"/>
      <c r="L17" s="272"/>
      <c r="M17" s="271"/>
      <c r="N17" s="272"/>
      <c r="O17" s="271"/>
      <c r="P17" s="286"/>
      <c r="Q17" s="155"/>
      <c r="R17" s="38"/>
    </row>
    <row r="18" spans="1:18" ht="12">
      <c r="A18" s="11">
        <v>3</v>
      </c>
      <c r="B18" s="7" t="s">
        <v>74</v>
      </c>
      <c r="C18" s="7"/>
      <c r="D18" s="7"/>
      <c r="E18" s="7"/>
      <c r="F18" s="7"/>
      <c r="H18" s="68"/>
      <c r="I18" s="272"/>
      <c r="J18" s="272"/>
      <c r="K18" s="271"/>
      <c r="L18" s="272"/>
      <c r="M18" s="271"/>
      <c r="N18" s="272"/>
      <c r="O18" s="271"/>
      <c r="P18" s="286"/>
      <c r="Q18" s="155"/>
      <c r="R18" s="38"/>
    </row>
    <row r="19" spans="1:18" ht="11.25">
      <c r="A19" s="11" t="s">
        <v>28</v>
      </c>
      <c r="B19" s="1" t="s">
        <v>68</v>
      </c>
      <c r="H19" s="68"/>
      <c r="I19" s="272"/>
      <c r="J19" s="272"/>
      <c r="K19" s="271"/>
      <c r="L19" s="272"/>
      <c r="M19" s="271"/>
      <c r="N19" s="272"/>
      <c r="O19" s="271"/>
      <c r="P19" s="286"/>
      <c r="Q19" s="155"/>
      <c r="R19" s="38"/>
    </row>
    <row r="20" spans="1:18" ht="11.25">
      <c r="A20" s="11" t="s">
        <v>29</v>
      </c>
      <c r="B20" s="1" t="s">
        <v>70</v>
      </c>
      <c r="H20" s="68"/>
      <c r="I20" s="272"/>
      <c r="J20" s="272"/>
      <c r="K20" s="271"/>
      <c r="L20" s="272"/>
      <c r="M20" s="271"/>
      <c r="N20" s="272"/>
      <c r="O20" s="271"/>
      <c r="P20" s="286"/>
      <c r="Q20" s="155"/>
      <c r="R20" s="38"/>
    </row>
    <row r="21" spans="1:18" ht="11.25">
      <c r="A21" s="11" t="s">
        <v>30</v>
      </c>
      <c r="B21" s="1" t="s">
        <v>72</v>
      </c>
      <c r="H21" s="68"/>
      <c r="I21" s="272"/>
      <c r="J21" s="272"/>
      <c r="K21" s="271"/>
      <c r="L21" s="272"/>
      <c r="M21" s="271"/>
      <c r="N21" s="272"/>
      <c r="O21" s="271"/>
      <c r="P21" s="286"/>
      <c r="Q21" s="155"/>
      <c r="R21" s="38"/>
    </row>
    <row r="22" spans="1:18" ht="11.25">
      <c r="A22" s="11" t="s">
        <v>75</v>
      </c>
      <c r="B22" s="1" t="s">
        <v>76</v>
      </c>
      <c r="H22" s="68"/>
      <c r="I22" s="272"/>
      <c r="J22" s="272"/>
      <c r="K22" s="271"/>
      <c r="L22" s="272"/>
      <c r="M22" s="271"/>
      <c r="N22" s="272"/>
      <c r="O22" s="271"/>
      <c r="P22" s="286"/>
      <c r="Q22" s="155"/>
      <c r="R22" s="38"/>
    </row>
    <row r="23" spans="1:18" ht="11.25">
      <c r="A23" s="11" t="s">
        <v>77</v>
      </c>
      <c r="B23" s="1" t="s">
        <v>78</v>
      </c>
      <c r="H23" s="68">
        <v>500000</v>
      </c>
      <c r="I23" s="272"/>
      <c r="J23" s="42">
        <v>500000</v>
      </c>
      <c r="K23" s="271"/>
      <c r="L23" s="42">
        <v>500000</v>
      </c>
      <c r="M23" s="271"/>
      <c r="N23" s="42">
        <v>500000</v>
      </c>
      <c r="O23" s="271"/>
      <c r="P23" s="299">
        <v>500000</v>
      </c>
      <c r="Q23" s="155"/>
      <c r="R23" s="38"/>
    </row>
    <row r="24" spans="1:18" ht="12" thickBot="1">
      <c r="A24" s="11" t="s">
        <v>53</v>
      </c>
      <c r="B24" s="1" t="s">
        <v>79</v>
      </c>
      <c r="H24" s="68"/>
      <c r="I24" s="272"/>
      <c r="J24" s="272"/>
      <c r="K24" s="271"/>
      <c r="L24" s="272"/>
      <c r="M24" s="271"/>
      <c r="N24" s="272"/>
      <c r="O24" s="271"/>
      <c r="P24" s="286"/>
      <c r="Q24" s="155"/>
      <c r="R24" s="38"/>
    </row>
    <row r="25" spans="1:18" ht="12" thickTop="1">
      <c r="A25" s="13"/>
      <c r="B25" s="14" t="s">
        <v>80</v>
      </c>
      <c r="C25" s="14"/>
      <c r="D25" s="14"/>
      <c r="E25" s="14"/>
      <c r="F25" s="14"/>
      <c r="G25" s="14"/>
      <c r="H25" s="457">
        <f>SUM(H19:H23)</f>
        <v>500000</v>
      </c>
      <c r="I25" s="275"/>
      <c r="J25" s="275">
        <f>SUM(J19:J23)</f>
        <v>500000</v>
      </c>
      <c r="K25" s="274"/>
      <c r="L25" s="275">
        <f>SUM(L19:L23)</f>
        <v>500000</v>
      </c>
      <c r="M25" s="274"/>
      <c r="N25" s="275">
        <f>SUM(N19:N23)</f>
        <v>500000</v>
      </c>
      <c r="O25" s="274"/>
      <c r="P25" s="291">
        <f>SUM(P19:P23)</f>
        <v>500000</v>
      </c>
      <c r="Q25" s="155"/>
      <c r="R25" s="38"/>
    </row>
    <row r="26" spans="1:18" ht="11.25">
      <c r="A26" s="11"/>
      <c r="H26" s="68"/>
      <c r="I26" s="272"/>
      <c r="J26" s="272"/>
      <c r="K26" s="271"/>
      <c r="L26" s="272"/>
      <c r="M26" s="271"/>
      <c r="N26" s="272"/>
      <c r="O26" s="271"/>
      <c r="P26" s="286"/>
      <c r="Q26" s="155"/>
      <c r="R26" s="38"/>
    </row>
    <row r="27" spans="1:18" ht="12">
      <c r="A27" s="11">
        <v>4</v>
      </c>
      <c r="B27" s="7" t="s">
        <v>81</v>
      </c>
      <c r="C27" s="7"/>
      <c r="D27" s="7"/>
      <c r="E27" s="7"/>
      <c r="F27" s="7"/>
      <c r="G27" s="7"/>
      <c r="H27" s="68"/>
      <c r="I27" s="272"/>
      <c r="J27" s="272"/>
      <c r="K27" s="271"/>
      <c r="L27" s="272"/>
      <c r="M27" s="271"/>
      <c r="N27" s="272"/>
      <c r="O27" s="271"/>
      <c r="P27" s="286"/>
      <c r="Q27" s="155"/>
      <c r="R27" s="38"/>
    </row>
    <row r="28" spans="1:18" ht="11.25">
      <c r="A28" s="11" t="s">
        <v>54</v>
      </c>
      <c r="B28" s="1" t="s">
        <v>82</v>
      </c>
      <c r="H28" s="68">
        <f>10000+10000+10000+10000+40000+2679000</f>
        <v>2759000</v>
      </c>
      <c r="I28" s="272"/>
      <c r="J28" s="42">
        <f>10000+10000+10000+10000+40000+2679000</f>
        <v>2759000</v>
      </c>
      <c r="K28" s="271"/>
      <c r="L28" s="272">
        <f>10000+10000+10000+10000+40000+2679000</f>
        <v>2759000</v>
      </c>
      <c r="M28" s="271"/>
      <c r="N28" s="276">
        <f>(50000*50)+2679000</f>
        <v>5179000</v>
      </c>
      <c r="O28" s="271"/>
      <c r="P28" s="286">
        <f>(50000*100)+2679000</f>
        <v>7679000</v>
      </c>
      <c r="Q28" s="155"/>
      <c r="R28" s="38"/>
    </row>
    <row r="29" spans="1:18" ht="11.25">
      <c r="A29" s="11" t="s">
        <v>55</v>
      </c>
      <c r="B29" s="1" t="s">
        <v>83</v>
      </c>
      <c r="H29" s="68"/>
      <c r="I29" s="272"/>
      <c r="J29" s="42"/>
      <c r="K29" s="271"/>
      <c r="L29" s="272"/>
      <c r="M29" s="271"/>
      <c r="N29" s="276"/>
      <c r="O29" s="271"/>
      <c r="P29" s="286"/>
      <c r="Q29" s="155"/>
      <c r="R29" s="38"/>
    </row>
    <row r="30" spans="1:18" ht="11.25">
      <c r="A30" s="11" t="s">
        <v>56</v>
      </c>
      <c r="B30" s="1" t="s">
        <v>84</v>
      </c>
      <c r="H30" s="68"/>
      <c r="I30" s="272"/>
      <c r="J30" s="42"/>
      <c r="K30" s="271"/>
      <c r="L30" s="272"/>
      <c r="M30" s="271"/>
      <c r="N30" s="276"/>
      <c r="O30" s="271"/>
      <c r="P30" s="286"/>
      <c r="Q30" s="155"/>
      <c r="R30" s="38"/>
    </row>
    <row r="31" spans="1:18" ht="11.25">
      <c r="A31" s="11" t="s">
        <v>85</v>
      </c>
      <c r="C31" s="1" t="s">
        <v>2</v>
      </c>
      <c r="H31" s="68">
        <v>36502</v>
      </c>
      <c r="I31" s="272"/>
      <c r="J31" s="42">
        <v>36502</v>
      </c>
      <c r="K31" s="271"/>
      <c r="L31" s="272">
        <v>36502</v>
      </c>
      <c r="M31" s="271"/>
      <c r="N31" s="272">
        <v>36502</v>
      </c>
      <c r="O31" s="271"/>
      <c r="P31" s="286">
        <v>36502</v>
      </c>
      <c r="Q31" s="155"/>
      <c r="R31" s="38"/>
    </row>
    <row r="32" spans="1:18" ht="11.25">
      <c r="A32" s="11" t="s">
        <v>86</v>
      </c>
      <c r="C32" s="1" t="s">
        <v>3</v>
      </c>
      <c r="H32" s="68">
        <v>17098</v>
      </c>
      <c r="I32" s="272"/>
      <c r="J32" s="42">
        <v>17098</v>
      </c>
      <c r="K32" s="271"/>
      <c r="L32" s="42">
        <v>17098</v>
      </c>
      <c r="M32" s="271"/>
      <c r="N32" s="42">
        <v>17098</v>
      </c>
      <c r="O32" s="271"/>
      <c r="P32" s="299">
        <v>17098</v>
      </c>
      <c r="Q32" s="155"/>
      <c r="R32" s="38"/>
    </row>
    <row r="33" spans="1:18" ht="12" thickBot="1">
      <c r="A33" s="18" t="s">
        <v>87</v>
      </c>
      <c r="B33" s="19"/>
      <c r="C33" s="19" t="s">
        <v>88</v>
      </c>
      <c r="D33" s="19"/>
      <c r="E33" s="19"/>
      <c r="F33" s="19"/>
      <c r="G33" s="19"/>
      <c r="H33" s="456">
        <v>1890</v>
      </c>
      <c r="I33" s="273"/>
      <c r="J33" s="463">
        <v>1890</v>
      </c>
      <c r="K33" s="277"/>
      <c r="L33" s="463">
        <v>1890</v>
      </c>
      <c r="M33" s="277"/>
      <c r="N33" s="463">
        <v>1890</v>
      </c>
      <c r="O33" s="277"/>
      <c r="P33" s="508">
        <v>1890</v>
      </c>
      <c r="Q33" s="155"/>
      <c r="R33" s="38"/>
    </row>
    <row r="34" spans="1:18" ht="12" thickBot="1" thickTop="1">
      <c r="A34" s="20"/>
      <c r="B34" s="14" t="s">
        <v>89</v>
      </c>
      <c r="C34" s="14"/>
      <c r="D34" s="14"/>
      <c r="E34" s="14"/>
      <c r="F34" s="14"/>
      <c r="G34" s="14"/>
      <c r="H34" s="458">
        <f>SUM(H28:H33)</f>
        <v>2814490</v>
      </c>
      <c r="I34" s="450"/>
      <c r="J34" s="452">
        <f>SUM(J28:J33)</f>
        <v>2814490</v>
      </c>
      <c r="K34" s="278"/>
      <c r="L34" s="452">
        <f>SUM(L28:L33)</f>
        <v>2814490</v>
      </c>
      <c r="M34" s="278"/>
      <c r="N34" s="279">
        <f>SUM(N28:N33)</f>
        <v>5234490</v>
      </c>
      <c r="O34" s="278"/>
      <c r="P34" s="305">
        <f>SUM(P28:P33)</f>
        <v>7734490</v>
      </c>
      <c r="Q34" s="155"/>
      <c r="R34" s="38"/>
    </row>
    <row r="35" spans="1:16" ht="12" thickTop="1">
      <c r="A35" s="13"/>
      <c r="B35" s="14" t="s">
        <v>173</v>
      </c>
      <c r="C35" s="14"/>
      <c r="D35" s="14"/>
      <c r="E35" s="14"/>
      <c r="F35" s="14"/>
      <c r="G35" s="14"/>
      <c r="H35" s="459">
        <f>H8+H16+H25+H34</f>
        <v>6814490</v>
      </c>
      <c r="I35" s="451"/>
      <c r="J35" s="451">
        <f>J8+J16+J25+J34</f>
        <v>6814490</v>
      </c>
      <c r="K35" s="280"/>
      <c r="L35" s="451">
        <f>L8+L16+L25+L34</f>
        <v>9846330</v>
      </c>
      <c r="M35" s="280"/>
      <c r="N35" s="281">
        <f>N8+N16+N25+N34</f>
        <v>38284490</v>
      </c>
      <c r="O35" s="280"/>
      <c r="P35" s="306">
        <f>P8+P16+P25+P34</f>
        <v>73334490</v>
      </c>
    </row>
    <row r="36" spans="1:16" ht="11.25">
      <c r="A36" s="11"/>
      <c r="H36" s="69"/>
      <c r="I36" s="319"/>
      <c r="J36" s="319"/>
      <c r="K36" s="282"/>
      <c r="L36" s="319"/>
      <c r="M36" s="282"/>
      <c r="N36" s="283"/>
      <c r="O36" s="282"/>
      <c r="P36" s="294"/>
    </row>
    <row r="37" spans="1:26" ht="12">
      <c r="A37" s="11">
        <v>5</v>
      </c>
      <c r="B37" s="21" t="s">
        <v>42</v>
      </c>
      <c r="C37" s="43"/>
      <c r="D37" s="38"/>
      <c r="E37" s="38"/>
      <c r="F37" s="38"/>
      <c r="G37" s="38"/>
      <c r="H37" s="460"/>
      <c r="I37" s="287"/>
      <c r="J37" s="287"/>
      <c r="K37" s="284"/>
      <c r="L37" s="287"/>
      <c r="M37" s="284"/>
      <c r="N37" s="285"/>
      <c r="O37" s="287"/>
      <c r="P37" s="285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1.25">
      <c r="A38" s="11" t="s">
        <v>57</v>
      </c>
      <c r="B38" s="61" t="s">
        <v>161</v>
      </c>
      <c r="C38" s="44"/>
      <c r="D38" s="38"/>
      <c r="E38" s="38"/>
      <c r="F38" s="38"/>
      <c r="G38" s="184">
        <v>0.05</v>
      </c>
      <c r="H38" s="68">
        <f>$H$35*G38</f>
        <v>340724.5</v>
      </c>
      <c r="I38" s="505">
        <v>0.05</v>
      </c>
      <c r="J38" s="42">
        <f aca="true" t="shared" si="0" ref="J38:J44">$J$35*I38</f>
        <v>340724.5</v>
      </c>
      <c r="K38" s="505">
        <v>0.05</v>
      </c>
      <c r="L38" s="42">
        <f>$L$35*K38</f>
        <v>492316.5</v>
      </c>
      <c r="M38" s="505">
        <v>0.05</v>
      </c>
      <c r="N38" s="299">
        <f>$N$35*M38</f>
        <v>1914224.5</v>
      </c>
      <c r="O38" s="505">
        <v>0.05</v>
      </c>
      <c r="P38" s="299">
        <f>$P$35*O38</f>
        <v>3666724.5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1.25">
      <c r="A39" s="11" t="s">
        <v>58</v>
      </c>
      <c r="B39" s="34" t="s">
        <v>44</v>
      </c>
      <c r="C39" s="38"/>
      <c r="D39" s="38"/>
      <c r="E39" s="38"/>
      <c r="F39" s="38"/>
      <c r="G39" s="184">
        <v>0.02</v>
      </c>
      <c r="H39" s="68">
        <f>$H$35*G39</f>
        <v>136289.8</v>
      </c>
      <c r="I39" s="506">
        <v>0.05</v>
      </c>
      <c r="J39" s="42">
        <f t="shared" si="0"/>
        <v>340724.5</v>
      </c>
      <c r="K39" s="506">
        <v>0.05</v>
      </c>
      <c r="L39" s="42">
        <f aca="true" t="shared" si="1" ref="L39:L45">$L$35*K39</f>
        <v>492316.5</v>
      </c>
      <c r="M39" s="506">
        <v>0.05</v>
      </c>
      <c r="N39" s="299">
        <f aca="true" t="shared" si="2" ref="N39:N45">$N$35*M39</f>
        <v>1914224.5</v>
      </c>
      <c r="O39" s="506">
        <v>0.05</v>
      </c>
      <c r="P39" s="299">
        <f aca="true" t="shared" si="3" ref="P39:P45">$P$35*O39</f>
        <v>3666724.5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1.25">
      <c r="A40" s="11" t="s">
        <v>59</v>
      </c>
      <c r="B40" s="34" t="s">
        <v>45</v>
      </c>
      <c r="C40" s="38"/>
      <c r="D40" s="38"/>
      <c r="E40" s="38"/>
      <c r="F40" s="38"/>
      <c r="G40" s="98"/>
      <c r="H40" s="68"/>
      <c r="I40" s="506">
        <v>0.03</v>
      </c>
      <c r="J40" s="42">
        <f t="shared" si="0"/>
        <v>204434.69999999998</v>
      </c>
      <c r="K40" s="506">
        <v>0.03</v>
      </c>
      <c r="L40" s="42">
        <f t="shared" si="1"/>
        <v>295389.89999999997</v>
      </c>
      <c r="M40" s="506">
        <v>0.03</v>
      </c>
      <c r="N40" s="299">
        <f t="shared" si="2"/>
        <v>1148534.7</v>
      </c>
      <c r="O40" s="506">
        <v>0.03</v>
      </c>
      <c r="P40" s="299">
        <f t="shared" si="3"/>
        <v>2200034.6999999997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1.25">
      <c r="A41" s="11" t="s">
        <v>60</v>
      </c>
      <c r="B41" s="34" t="s">
        <v>46</v>
      </c>
      <c r="C41" s="38"/>
      <c r="D41" s="38"/>
      <c r="E41" s="38"/>
      <c r="F41" s="38"/>
      <c r="G41" s="98"/>
      <c r="H41" s="68"/>
      <c r="I41" s="506">
        <v>0.05</v>
      </c>
      <c r="J41" s="42">
        <f t="shared" si="0"/>
        <v>340724.5</v>
      </c>
      <c r="K41" s="506">
        <v>0.05</v>
      </c>
      <c r="L41" s="42">
        <f t="shared" si="1"/>
        <v>492316.5</v>
      </c>
      <c r="M41" s="506">
        <v>0.05</v>
      </c>
      <c r="N41" s="299">
        <f t="shared" si="2"/>
        <v>1914224.5</v>
      </c>
      <c r="O41" s="506">
        <v>0.05</v>
      </c>
      <c r="P41" s="299">
        <f t="shared" si="3"/>
        <v>3666724.5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1.25">
      <c r="A42" s="11" t="s">
        <v>110</v>
      </c>
      <c r="B42" s="34" t="s">
        <v>47</v>
      </c>
      <c r="C42" s="38"/>
      <c r="D42" s="38"/>
      <c r="E42" s="38"/>
      <c r="F42" s="38"/>
      <c r="G42" s="184">
        <v>0.05</v>
      </c>
      <c r="H42" s="68">
        <f>$H$35*G42</f>
        <v>340724.5</v>
      </c>
      <c r="I42" s="506">
        <v>0.15</v>
      </c>
      <c r="J42" s="42">
        <f t="shared" si="0"/>
        <v>1022173.5</v>
      </c>
      <c r="K42" s="506">
        <v>0.15</v>
      </c>
      <c r="L42" s="42">
        <f t="shared" si="1"/>
        <v>1476949.5</v>
      </c>
      <c r="M42" s="506">
        <v>0.15</v>
      </c>
      <c r="N42" s="299">
        <f t="shared" si="2"/>
        <v>5742673.5</v>
      </c>
      <c r="O42" s="506">
        <v>0.15</v>
      </c>
      <c r="P42" s="299">
        <f t="shared" si="3"/>
        <v>11000173.5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1.25">
      <c r="A43" s="11" t="s">
        <v>111</v>
      </c>
      <c r="B43" s="34" t="s">
        <v>48</v>
      </c>
      <c r="C43" s="38"/>
      <c r="D43" s="38"/>
      <c r="E43" s="38"/>
      <c r="F43" s="38"/>
      <c r="G43" s="184">
        <v>0.05</v>
      </c>
      <c r="H43" s="68">
        <f>$H$35*G43</f>
        <v>340724.5</v>
      </c>
      <c r="I43" s="505">
        <v>0.1</v>
      </c>
      <c r="J43" s="42">
        <f t="shared" si="0"/>
        <v>681449</v>
      </c>
      <c r="K43" s="505">
        <v>0.1</v>
      </c>
      <c r="L43" s="299">
        <f t="shared" si="1"/>
        <v>984633</v>
      </c>
      <c r="M43" s="505">
        <v>0.1</v>
      </c>
      <c r="N43" s="299">
        <f t="shared" si="2"/>
        <v>3828449</v>
      </c>
      <c r="O43" s="505">
        <v>0.1</v>
      </c>
      <c r="P43" s="299">
        <f t="shared" si="3"/>
        <v>7333449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1.25">
      <c r="A44" s="11" t="s">
        <v>112</v>
      </c>
      <c r="B44" s="34" t="s">
        <v>162</v>
      </c>
      <c r="C44" s="38"/>
      <c r="D44" s="38"/>
      <c r="E44" s="38"/>
      <c r="F44" s="38"/>
      <c r="G44" s="184">
        <v>0.03</v>
      </c>
      <c r="H44" s="68">
        <f>$H$35*G44</f>
        <v>204434.69999999998</v>
      </c>
      <c r="I44" s="506">
        <v>0.08</v>
      </c>
      <c r="J44" s="42">
        <f t="shared" si="0"/>
        <v>545159.2</v>
      </c>
      <c r="K44" s="506">
        <v>0.08</v>
      </c>
      <c r="L44" s="299">
        <f t="shared" si="1"/>
        <v>787706.4</v>
      </c>
      <c r="M44" s="506">
        <v>0.08</v>
      </c>
      <c r="N44" s="299">
        <f t="shared" si="2"/>
        <v>3062759.2</v>
      </c>
      <c r="O44" s="506">
        <v>0.08</v>
      </c>
      <c r="P44" s="299">
        <f t="shared" si="3"/>
        <v>5866759.2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1.25">
      <c r="A45" s="11" t="s">
        <v>113</v>
      </c>
      <c r="B45" s="34" t="s">
        <v>195</v>
      </c>
      <c r="C45" s="38"/>
      <c r="D45" s="38"/>
      <c r="E45" s="38"/>
      <c r="F45" s="38"/>
      <c r="G45" s="60"/>
      <c r="H45" s="68"/>
      <c r="I45" s="506">
        <v>0.03</v>
      </c>
      <c r="J45" s="42">
        <f>$J$35*I45</f>
        <v>204434.69999999998</v>
      </c>
      <c r="K45" s="506">
        <v>0.03</v>
      </c>
      <c r="L45" s="299">
        <f t="shared" si="1"/>
        <v>295389.89999999997</v>
      </c>
      <c r="M45" s="506">
        <v>0.03</v>
      </c>
      <c r="N45" s="299">
        <f t="shared" si="2"/>
        <v>1148534.7</v>
      </c>
      <c r="O45" s="506">
        <v>0.03</v>
      </c>
      <c r="P45" s="299">
        <f t="shared" si="3"/>
        <v>2200034.6999999997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2" thickBot="1">
      <c r="A46" s="11"/>
      <c r="B46" s="38"/>
      <c r="C46" s="38"/>
      <c r="D46" s="38"/>
      <c r="E46" s="38"/>
      <c r="F46" s="38"/>
      <c r="G46" s="38"/>
      <c r="H46" s="461"/>
      <c r="I46" s="287"/>
      <c r="J46" s="287"/>
      <c r="K46" s="507"/>
      <c r="L46" s="286"/>
      <c r="M46" s="287"/>
      <c r="N46" s="286"/>
      <c r="O46" s="287"/>
      <c r="P46" s="286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2" thickTop="1">
      <c r="A47" s="133"/>
      <c r="B47" s="14" t="s">
        <v>50</v>
      </c>
      <c r="C47" s="14"/>
      <c r="D47" s="14"/>
      <c r="E47" s="14"/>
      <c r="F47" s="14"/>
      <c r="G47" s="73">
        <f>H47/H35</f>
        <v>0.2</v>
      </c>
      <c r="H47" s="462">
        <f>SUM(H37:H46)</f>
        <v>1362898</v>
      </c>
      <c r="I47" s="73">
        <f>J47/J35</f>
        <v>0.54</v>
      </c>
      <c r="J47" s="301">
        <f>SUM(J37:J46)</f>
        <v>3679824.6000000006</v>
      </c>
      <c r="K47" s="464">
        <f>L47/L35</f>
        <v>0.5400000000000001</v>
      </c>
      <c r="L47" s="288">
        <f>SUM(L38:L46)</f>
        <v>5317018.200000001</v>
      </c>
      <c r="M47" s="307">
        <f>N47/N35</f>
        <v>0.5399999999999999</v>
      </c>
      <c r="N47" s="288">
        <f>SUM(N38:N46)</f>
        <v>20673624.599999998</v>
      </c>
      <c r="O47" s="307">
        <f>P47/P35</f>
        <v>0.54</v>
      </c>
      <c r="P47" s="288">
        <f>SUM(P38:P46)</f>
        <v>39600624.6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16" ht="11.25">
      <c r="A48" s="20"/>
      <c r="B48" s="16"/>
      <c r="C48" s="16"/>
      <c r="D48" s="16"/>
      <c r="E48" s="16"/>
      <c r="F48" s="16"/>
      <c r="G48" s="16"/>
      <c r="H48" s="458"/>
      <c r="I48" s="452"/>
      <c r="J48" s="452"/>
      <c r="K48" s="289"/>
      <c r="L48" s="305"/>
      <c r="M48" s="452"/>
      <c r="N48" s="279"/>
      <c r="O48" s="289"/>
      <c r="P48" s="305"/>
    </row>
    <row r="49" spans="1:16" ht="12">
      <c r="A49" s="11">
        <v>6</v>
      </c>
      <c r="B49" s="7" t="s">
        <v>90</v>
      </c>
      <c r="C49" s="7"/>
      <c r="D49" s="7"/>
      <c r="E49" s="7"/>
      <c r="F49" s="7"/>
      <c r="G49" s="7"/>
      <c r="H49" s="70"/>
      <c r="I49" s="270"/>
      <c r="J49" s="270"/>
      <c r="K49" s="269"/>
      <c r="L49" s="304"/>
      <c r="M49" s="270"/>
      <c r="N49" s="266"/>
      <c r="O49" s="269"/>
      <c r="P49" s="304"/>
    </row>
    <row r="50" spans="1:16" ht="11.25">
      <c r="A50" s="11"/>
      <c r="B50" s="1" t="s">
        <v>91</v>
      </c>
      <c r="H50" s="68"/>
      <c r="I50" s="272"/>
      <c r="J50" s="272"/>
      <c r="K50" s="271"/>
      <c r="L50" s="286"/>
      <c r="M50" s="272"/>
      <c r="N50" s="286">
        <f>2614000*0.25</f>
        <v>653500</v>
      </c>
      <c r="O50" s="271"/>
      <c r="P50" s="286">
        <f>2614000*0.25</f>
        <v>653500</v>
      </c>
    </row>
    <row r="51" spans="1:16" ht="11.25">
      <c r="A51" s="11"/>
      <c r="B51" s="1" t="s">
        <v>92</v>
      </c>
      <c r="H51" s="68"/>
      <c r="I51" s="272"/>
      <c r="J51" s="272"/>
      <c r="K51" s="271"/>
      <c r="L51" s="286"/>
      <c r="M51" s="272"/>
      <c r="N51" s="286">
        <f>2614000*0.25</f>
        <v>653500</v>
      </c>
      <c r="O51" s="271"/>
      <c r="P51" s="286">
        <f>2614000*0.25</f>
        <v>653500</v>
      </c>
    </row>
    <row r="52" spans="1:16" ht="11.25">
      <c r="A52" s="11"/>
      <c r="B52" s="1" t="s">
        <v>93</v>
      </c>
      <c r="H52" s="68"/>
      <c r="I52" s="272"/>
      <c r="J52" s="272"/>
      <c r="K52" s="271"/>
      <c r="L52" s="286"/>
      <c r="M52" s="272"/>
      <c r="N52" s="286">
        <f>2614000*0.5</f>
        <v>1307000</v>
      </c>
      <c r="O52" s="271"/>
      <c r="P52" s="286">
        <f>2614000*0.5</f>
        <v>1307000</v>
      </c>
    </row>
    <row r="53" spans="1:16" ht="11.25">
      <c r="A53" s="11"/>
      <c r="B53" s="1" t="s">
        <v>94</v>
      </c>
      <c r="H53" s="70"/>
      <c r="I53" s="270"/>
      <c r="J53" s="272"/>
      <c r="K53" s="269"/>
      <c r="L53" s="286"/>
      <c r="M53" s="270"/>
      <c r="N53" s="286">
        <f>2000000</f>
        <v>2000000</v>
      </c>
      <c r="O53" s="269"/>
      <c r="P53" s="286">
        <f>2000000</f>
        <v>2000000</v>
      </c>
    </row>
    <row r="54" spans="1:16" ht="12" thickBot="1">
      <c r="A54" s="11"/>
      <c r="B54" s="38"/>
      <c r="C54" s="38"/>
      <c r="D54" s="38"/>
      <c r="E54" s="38"/>
      <c r="F54" s="38"/>
      <c r="G54" s="38"/>
      <c r="H54" s="456"/>
      <c r="I54" s="273"/>
      <c r="J54" s="273"/>
      <c r="K54" s="277"/>
      <c r="L54" s="290"/>
      <c r="M54" s="273"/>
      <c r="N54" s="286"/>
      <c r="O54" s="277"/>
      <c r="P54" s="290"/>
    </row>
    <row r="55" spans="1:16" ht="12" thickTop="1">
      <c r="A55" s="46" t="s">
        <v>114</v>
      </c>
      <c r="B55" s="14"/>
      <c r="C55" s="14"/>
      <c r="D55" s="14"/>
      <c r="E55" s="14"/>
      <c r="F55" s="14"/>
      <c r="G55" s="14"/>
      <c r="H55" s="457">
        <f>SUM(H50:H53)+H47+H35</f>
        <v>8177388</v>
      </c>
      <c r="I55" s="275"/>
      <c r="J55" s="323">
        <f>SUM(J50:J53)+J47+J34+J25+J16+J8</f>
        <v>10494314.600000001</v>
      </c>
      <c r="K55" s="274"/>
      <c r="L55" s="324">
        <f>SUM(L50:L53)+L47+L34+L25+L16+L8</f>
        <v>15163348.200000001</v>
      </c>
      <c r="M55" s="275"/>
      <c r="N55" s="324">
        <f>SUM(N50:N53)+N47+N34+N25+N16+N8</f>
        <v>63572114.599999994</v>
      </c>
      <c r="O55" s="274"/>
      <c r="P55" s="324">
        <f>SUM(P50:P53)+P47+P34+P25+P16+P8</f>
        <v>117549114.6</v>
      </c>
    </row>
    <row r="56" spans="1:16" ht="11.25">
      <c r="A56" s="24"/>
      <c r="H56" s="12"/>
      <c r="I56" s="292"/>
      <c r="J56" s="292"/>
      <c r="K56" s="292"/>
      <c r="L56" s="292"/>
      <c r="M56" s="292"/>
      <c r="N56" s="292"/>
      <c r="O56" s="292"/>
      <c r="P56" s="292"/>
    </row>
    <row r="57" spans="1:16" s="38" customFormat="1" ht="12">
      <c r="A57" s="47"/>
      <c r="B57" s="48"/>
      <c r="C57" s="48"/>
      <c r="D57" s="48"/>
      <c r="E57" s="48"/>
      <c r="F57" s="48"/>
      <c r="G57" s="48"/>
      <c r="I57" s="270"/>
      <c r="J57" s="270"/>
      <c r="K57" s="270"/>
      <c r="L57" s="270"/>
      <c r="M57" s="270"/>
      <c r="N57" s="270"/>
      <c r="O57" s="270"/>
      <c r="P57" s="270"/>
    </row>
    <row r="58" spans="1:16" s="38" customFormat="1" ht="12">
      <c r="A58" s="65" t="s">
        <v>627</v>
      </c>
      <c r="B58" s="51"/>
      <c r="H58" s="30"/>
      <c r="I58" s="287"/>
      <c r="J58" s="287"/>
      <c r="K58" s="287"/>
      <c r="L58" s="287"/>
      <c r="M58" s="287"/>
      <c r="N58" s="287"/>
      <c r="O58" s="287"/>
      <c r="P58" s="287"/>
    </row>
    <row r="59" spans="1:16" ht="11.25">
      <c r="A59" s="64"/>
      <c r="B59" s="16"/>
      <c r="C59" s="16"/>
      <c r="D59" s="16"/>
      <c r="E59" s="16"/>
      <c r="F59" s="16"/>
      <c r="G59" s="16"/>
      <c r="H59" s="66"/>
      <c r="I59" s="268"/>
      <c r="J59" s="268"/>
      <c r="K59" s="268"/>
      <c r="L59" s="268"/>
      <c r="M59" s="268"/>
      <c r="N59" s="268"/>
      <c r="O59" s="268"/>
      <c r="P59" s="268"/>
    </row>
    <row r="60" spans="1:16" ht="11.25">
      <c r="A60" s="5" t="s">
        <v>103</v>
      </c>
      <c r="B60" s="1" t="str">
        <f>B8</f>
        <v>Interim Water Management and Operations</v>
      </c>
      <c r="G60" s="67"/>
      <c r="H60" s="68">
        <f>H8*(1+$G$47)</f>
        <v>0</v>
      </c>
      <c r="I60" s="271"/>
      <c r="J60" s="293">
        <f>J8*(1+$I$47)</f>
        <v>0</v>
      </c>
      <c r="K60" s="271"/>
      <c r="L60" s="293">
        <f>L8*(1+$K$47)</f>
        <v>0</v>
      </c>
      <c r="M60" s="271"/>
      <c r="N60" s="293">
        <f>N8*(1+$M$47)</f>
        <v>0</v>
      </c>
      <c r="O60" s="271"/>
      <c r="P60" s="293">
        <f>P8*(1+$O$47)</f>
        <v>0</v>
      </c>
    </row>
    <row r="61" spans="1:16" ht="11.25">
      <c r="A61" s="11" t="s">
        <v>104</v>
      </c>
      <c r="B61" s="1" t="str">
        <f>B10</f>
        <v>Water Treatment Plant</v>
      </c>
      <c r="G61" s="67"/>
      <c r="H61" s="68">
        <f>H16*(1+$G$47)</f>
        <v>4200000</v>
      </c>
      <c r="I61" s="271"/>
      <c r="J61" s="286">
        <f>J16*(1+$I$47)</f>
        <v>5390000</v>
      </c>
      <c r="K61" s="271"/>
      <c r="L61" s="286">
        <f>L16*(1+$K$47)</f>
        <v>10059033.6</v>
      </c>
      <c r="M61" s="271"/>
      <c r="N61" s="286">
        <f>N16*(1+$M$47)</f>
        <v>50127000</v>
      </c>
      <c r="O61" s="271"/>
      <c r="P61" s="286">
        <f>P16*(1+$O$47)</f>
        <v>100254000</v>
      </c>
    </row>
    <row r="62" spans="1:16" ht="11.25">
      <c r="A62" s="11" t="s">
        <v>105</v>
      </c>
      <c r="B62" s="15" t="str">
        <f>B18</f>
        <v>General Site Operation and Maintenance</v>
      </c>
      <c r="G62" s="67"/>
      <c r="H62" s="69">
        <f>H25*(1+$G$47)</f>
        <v>600000</v>
      </c>
      <c r="I62" s="282"/>
      <c r="J62" s="294">
        <f>J25*(1+$I$47)</f>
        <v>770000</v>
      </c>
      <c r="K62" s="282"/>
      <c r="L62" s="294">
        <f>L25*(1+$K$47)</f>
        <v>770000</v>
      </c>
      <c r="M62" s="282"/>
      <c r="N62" s="294">
        <f>N25*(1+$M$47)</f>
        <v>770000</v>
      </c>
      <c r="O62" s="282"/>
      <c r="P62" s="294">
        <f>P25*(1+$O$47)</f>
        <v>770000</v>
      </c>
    </row>
    <row r="63" spans="1:16" ht="11.25">
      <c r="A63" s="11" t="s">
        <v>106</v>
      </c>
      <c r="B63" s="1" t="str">
        <f>B27</f>
        <v>Long-Term Operation and Maintenance Expense</v>
      </c>
      <c r="G63" s="67"/>
      <c r="H63" s="69"/>
      <c r="I63" s="282"/>
      <c r="J63" s="294"/>
      <c r="K63" s="282"/>
      <c r="L63" s="294"/>
      <c r="M63" s="282"/>
      <c r="N63" s="294"/>
      <c r="O63" s="282"/>
      <c r="P63" s="294"/>
    </row>
    <row r="64" spans="1:16" ht="12">
      <c r="A64" s="11"/>
      <c r="B64" s="7"/>
      <c r="C64" s="1" t="str">
        <f>B28</f>
        <v>Surface and Groundwater  Monitoring</v>
      </c>
      <c r="G64" s="67"/>
      <c r="H64" s="68">
        <f>H28*(1+$G$47)</f>
        <v>3310800</v>
      </c>
      <c r="I64" s="271"/>
      <c r="J64" s="286">
        <f>J28*(1+$I$47)</f>
        <v>4248860</v>
      </c>
      <c r="K64" s="271"/>
      <c r="L64" s="286">
        <f>L28*(1+$K$47)</f>
        <v>4248860</v>
      </c>
      <c r="M64" s="271"/>
      <c r="N64" s="286">
        <f>N28*(1+$M$47)</f>
        <v>7975660</v>
      </c>
      <c r="O64" s="271"/>
      <c r="P64" s="286">
        <f>P28*(1+$O$47)</f>
        <v>11825660</v>
      </c>
    </row>
    <row r="65" spans="1:16" ht="11.25">
      <c r="A65" s="11"/>
      <c r="C65" s="1" t="str">
        <f>B29</f>
        <v>Reclamation Monitoring</v>
      </c>
      <c r="G65" s="67"/>
      <c r="H65" s="68">
        <f>H29*(1+$G$47)</f>
        <v>0</v>
      </c>
      <c r="I65" s="271"/>
      <c r="J65" s="286">
        <f>J29*(1+$I$47)</f>
        <v>0</v>
      </c>
      <c r="K65" s="271"/>
      <c r="L65" s="286">
        <f>L29*(1+$I$47)</f>
        <v>0</v>
      </c>
      <c r="M65" s="271"/>
      <c r="N65" s="286">
        <f>N29*(1+$M$47)</f>
        <v>0</v>
      </c>
      <c r="O65" s="271"/>
      <c r="P65" s="286">
        <f>P29*(1+$O$47)</f>
        <v>0</v>
      </c>
    </row>
    <row r="66" spans="1:16" ht="11.25">
      <c r="A66" s="11"/>
      <c r="C66" s="1" t="str">
        <f>B30</f>
        <v>Reclamation Maintenance</v>
      </c>
      <c r="G66" s="67"/>
      <c r="H66" s="68">
        <f>(H31+H32+H33)*(1+$G$47)</f>
        <v>66588</v>
      </c>
      <c r="I66" s="271"/>
      <c r="J66" s="299">
        <f>(J31+J32+J33)*(1+$I$47)</f>
        <v>85454.6</v>
      </c>
      <c r="K66" s="271"/>
      <c r="L66" s="299">
        <f>(L31+L32+L33)*(1+$K$47)</f>
        <v>85454.6</v>
      </c>
      <c r="M66" s="271"/>
      <c r="N66" s="299">
        <f>(N31+N32+N33)*(1+$M$47)</f>
        <v>85454.6</v>
      </c>
      <c r="O66" s="271"/>
      <c r="P66" s="286">
        <f>(P31+P32+P33)*(1+$O$47)</f>
        <v>85454.6</v>
      </c>
    </row>
    <row r="67" spans="1:16" ht="11.25">
      <c r="A67" s="11"/>
      <c r="B67" s="1" t="str">
        <f>B34</f>
        <v>Sub-Total Long-Term Operation and Maintenance Expense</v>
      </c>
      <c r="G67" s="67"/>
      <c r="H67" s="68">
        <f>SUM(H64:H66)</f>
        <v>3377388</v>
      </c>
      <c r="I67" s="271"/>
      <c r="J67" s="286">
        <f>SUM(J64:J66)</f>
        <v>4334314.6</v>
      </c>
      <c r="K67" s="271"/>
      <c r="L67" s="286">
        <f>SUM(L64:L66)</f>
        <v>4334314.6</v>
      </c>
      <c r="M67" s="271"/>
      <c r="N67" s="286">
        <f>SUM(N64:N66)</f>
        <v>8061114.6</v>
      </c>
      <c r="O67" s="271"/>
      <c r="P67" s="286">
        <f>SUM(P64:P66)</f>
        <v>11911114.6</v>
      </c>
    </row>
    <row r="68" spans="1:16" ht="11.25">
      <c r="A68" s="11" t="s">
        <v>108</v>
      </c>
      <c r="B68" s="1" t="str">
        <f>B49</f>
        <v>Water Treatment Plant Capital Replacement</v>
      </c>
      <c r="G68" s="67"/>
      <c r="H68" s="68">
        <f>(SUM(H50:H53))</f>
        <v>0</v>
      </c>
      <c r="I68" s="271"/>
      <c r="J68" s="286">
        <f>(SUM(J50:J53))</f>
        <v>0</v>
      </c>
      <c r="K68" s="271"/>
      <c r="L68" s="286">
        <f>(SUM(L50:L53))</f>
        <v>0</v>
      </c>
      <c r="M68" s="271"/>
      <c r="N68" s="286">
        <f>(SUM(N50:N53))</f>
        <v>4614000</v>
      </c>
      <c r="O68" s="271"/>
      <c r="P68" s="286">
        <f>(SUM(P50:P53))</f>
        <v>4614000</v>
      </c>
    </row>
    <row r="69" spans="1:16" ht="11.25">
      <c r="A69" s="11"/>
      <c r="G69" s="67"/>
      <c r="H69" s="70"/>
      <c r="I69" s="269"/>
      <c r="J69" s="266"/>
      <c r="K69" s="269"/>
      <c r="L69" s="276"/>
      <c r="M69" s="269"/>
      <c r="N69" s="276"/>
      <c r="O69" s="269"/>
      <c r="P69" s="286"/>
    </row>
    <row r="70" spans="1:16" ht="12">
      <c r="A70" s="20"/>
      <c r="B70" s="9" t="s">
        <v>180</v>
      </c>
      <c r="C70" s="16"/>
      <c r="D70" s="16"/>
      <c r="E70" s="16"/>
      <c r="F70" s="16"/>
      <c r="G70" s="71"/>
      <c r="H70" s="72">
        <f>H60+H61+H62+H67+H68</f>
        <v>8177388</v>
      </c>
      <c r="I70" s="295"/>
      <c r="J70" s="471">
        <f>J60+J61+J62+J67+J68</f>
        <v>10494314.6</v>
      </c>
      <c r="K70" s="295"/>
      <c r="L70" s="296">
        <f>L60+L61+L62+L67+L68</f>
        <v>15163348.2</v>
      </c>
      <c r="M70" s="295"/>
      <c r="N70" s="296">
        <f>N60+N61+N62+N67+N68</f>
        <v>63572114.6</v>
      </c>
      <c r="O70" s="295"/>
      <c r="P70" s="296">
        <f>P60+P61+P62+P67+P68</f>
        <v>117549114.6</v>
      </c>
    </row>
    <row r="71" spans="1:16" s="38" customFormat="1" ht="11.25">
      <c r="A71" s="47"/>
      <c r="H71" s="42"/>
      <c r="I71" s="272"/>
      <c r="J71" s="272"/>
      <c r="K71" s="272"/>
      <c r="L71" s="272"/>
      <c r="M71" s="272"/>
      <c r="N71" s="272"/>
      <c r="O71" s="272"/>
      <c r="P71" s="272"/>
    </row>
    <row r="72" spans="1:16" s="38" customFormat="1" ht="11.25">
      <c r="A72" s="47"/>
      <c r="H72" s="42"/>
      <c r="I72" s="272"/>
      <c r="J72" s="272"/>
      <c r="K72" s="272"/>
      <c r="L72" s="272"/>
      <c r="M72" s="272"/>
      <c r="N72" s="272"/>
      <c r="O72" s="272"/>
      <c r="P72" s="272"/>
    </row>
    <row r="73" spans="1:16" s="38" customFormat="1" ht="11.25">
      <c r="A73" s="47"/>
      <c r="H73" s="42"/>
      <c r="I73" s="272"/>
      <c r="J73" s="272"/>
      <c r="K73" s="272"/>
      <c r="L73" s="272"/>
      <c r="M73" s="272"/>
      <c r="N73" s="272"/>
      <c r="O73" s="272"/>
      <c r="P73" s="272"/>
    </row>
    <row r="74" spans="1:16" s="38" customFormat="1" ht="11.25">
      <c r="A74" s="47"/>
      <c r="I74" s="270"/>
      <c r="J74" s="272"/>
      <c r="K74" s="270"/>
      <c r="L74" s="272"/>
      <c r="M74" s="270"/>
      <c r="N74" s="272"/>
      <c r="O74" s="270"/>
      <c r="P74" s="272"/>
    </row>
    <row r="75" spans="1:16" s="38" customFormat="1" ht="11.25">
      <c r="A75" s="47"/>
      <c r="H75" s="42"/>
      <c r="I75" s="272"/>
      <c r="J75" s="272"/>
      <c r="K75" s="272"/>
      <c r="L75" s="272"/>
      <c r="M75" s="272"/>
      <c r="N75" s="272"/>
      <c r="O75" s="272"/>
      <c r="P75" s="272"/>
    </row>
    <row r="76" spans="1:16" s="38" customFormat="1" ht="11.25">
      <c r="A76" s="47"/>
      <c r="H76" s="42"/>
      <c r="I76" s="272"/>
      <c r="J76" s="272"/>
      <c r="K76" s="272"/>
      <c r="L76" s="272"/>
      <c r="M76" s="272"/>
      <c r="N76" s="272"/>
      <c r="O76" s="272"/>
      <c r="P76" s="272"/>
    </row>
    <row r="77" spans="1:16" ht="11.25">
      <c r="A77" s="24"/>
      <c r="H77" s="12"/>
      <c r="I77" s="292"/>
      <c r="J77" s="292"/>
      <c r="K77" s="292"/>
      <c r="L77" s="292"/>
      <c r="M77" s="292"/>
      <c r="N77" s="292"/>
      <c r="O77" s="292"/>
      <c r="P77" s="292"/>
    </row>
    <row r="78" spans="1:16" ht="11.25">
      <c r="A78" s="24"/>
      <c r="H78" s="12"/>
      <c r="I78" s="292"/>
      <c r="J78" s="292"/>
      <c r="K78" s="292"/>
      <c r="L78" s="292"/>
      <c r="M78" s="292"/>
      <c r="N78" s="292"/>
      <c r="O78" s="292"/>
      <c r="P78" s="292"/>
    </row>
    <row r="79" spans="1:16" ht="11.25">
      <c r="A79" s="24"/>
      <c r="H79" s="12"/>
      <c r="I79" s="292"/>
      <c r="J79" s="292"/>
      <c r="K79" s="292"/>
      <c r="L79" s="292"/>
      <c r="M79" s="292"/>
      <c r="N79" s="292"/>
      <c r="O79" s="292"/>
      <c r="P79" s="292"/>
    </row>
    <row r="80" spans="1:16" ht="11.25">
      <c r="A80" s="24"/>
      <c r="H80" s="12"/>
      <c r="I80" s="292"/>
      <c r="J80" s="292"/>
      <c r="K80" s="292"/>
      <c r="L80" s="292"/>
      <c r="M80" s="292"/>
      <c r="N80" s="292"/>
      <c r="O80" s="292"/>
      <c r="P80" s="292"/>
    </row>
    <row r="81" spans="1:16" ht="11.25">
      <c r="A81" s="24"/>
      <c r="H81" s="12"/>
      <c r="I81" s="292"/>
      <c r="J81" s="292"/>
      <c r="K81" s="292"/>
      <c r="L81" s="292"/>
      <c r="M81" s="292"/>
      <c r="N81" s="292"/>
      <c r="O81" s="292"/>
      <c r="P81" s="292"/>
    </row>
    <row r="82" spans="1:16" ht="11.25">
      <c r="A82" s="24"/>
      <c r="H82" s="12"/>
      <c r="I82" s="292"/>
      <c r="J82" s="292"/>
      <c r="K82" s="292"/>
      <c r="L82" s="292"/>
      <c r="M82" s="292"/>
      <c r="N82" s="292"/>
      <c r="O82" s="292"/>
      <c r="P82" s="292"/>
    </row>
    <row r="83" spans="1:16" ht="12">
      <c r="A83" s="24"/>
      <c r="B83" s="7"/>
      <c r="H83" s="17"/>
      <c r="I83" s="262"/>
      <c r="J83" s="262"/>
      <c r="K83" s="262"/>
      <c r="L83" s="262"/>
      <c r="M83" s="262"/>
      <c r="N83" s="262"/>
      <c r="O83" s="262"/>
      <c r="P83" s="262"/>
    </row>
    <row r="84" spans="1:16" ht="11.25">
      <c r="A84" s="24"/>
      <c r="H84" s="17"/>
      <c r="I84" s="262"/>
      <c r="J84" s="262"/>
      <c r="K84" s="262"/>
      <c r="L84" s="262"/>
      <c r="M84" s="262"/>
      <c r="N84" s="262"/>
      <c r="O84" s="262"/>
      <c r="P84" s="262"/>
    </row>
    <row r="85" spans="1:2" ht="12">
      <c r="A85" s="24"/>
      <c r="B85" s="7"/>
    </row>
    <row r="86" spans="1:16" ht="11.25">
      <c r="A86" s="24"/>
      <c r="J86" s="292"/>
      <c r="L86" s="292"/>
      <c r="N86" s="292"/>
      <c r="P86" s="292"/>
    </row>
    <row r="87" spans="1:15" ht="11.25">
      <c r="A87" s="24"/>
      <c r="H87" s="12"/>
      <c r="I87" s="292"/>
      <c r="K87" s="292"/>
      <c r="M87" s="292"/>
      <c r="O87" s="292"/>
    </row>
    <row r="88" ht="11.25">
      <c r="A88" s="24"/>
    </row>
    <row r="89" spans="1:16" ht="11.25">
      <c r="A89" s="24"/>
      <c r="J89" s="292"/>
      <c r="L89" s="292"/>
      <c r="N89" s="292"/>
      <c r="P89" s="292"/>
    </row>
    <row r="90" spans="1:16" ht="11.25">
      <c r="A90" s="24"/>
      <c r="H90" s="12"/>
      <c r="I90" s="292"/>
      <c r="J90" s="292"/>
      <c r="K90" s="292"/>
      <c r="L90" s="292"/>
      <c r="M90" s="292"/>
      <c r="N90" s="292"/>
      <c r="O90" s="292"/>
      <c r="P90" s="292"/>
    </row>
    <row r="91" spans="1:16" ht="11.25">
      <c r="A91" s="24"/>
      <c r="H91" s="12"/>
      <c r="I91" s="292"/>
      <c r="J91" s="292"/>
      <c r="K91" s="292"/>
      <c r="L91" s="292"/>
      <c r="M91" s="292"/>
      <c r="N91" s="292"/>
      <c r="O91" s="292"/>
      <c r="P91" s="292"/>
    </row>
    <row r="92" spans="1:16" ht="11.25">
      <c r="A92" s="24"/>
      <c r="H92" s="12"/>
      <c r="I92" s="292"/>
      <c r="J92" s="292"/>
      <c r="K92" s="292"/>
      <c r="L92" s="292"/>
      <c r="M92" s="292"/>
      <c r="N92" s="292"/>
      <c r="O92" s="292"/>
      <c r="P92" s="292"/>
    </row>
    <row r="93" spans="1:16" ht="11.25">
      <c r="A93" s="24"/>
      <c r="H93" s="12"/>
      <c r="I93" s="292"/>
      <c r="J93" s="292"/>
      <c r="K93" s="292"/>
      <c r="L93" s="292"/>
      <c r="M93" s="292"/>
      <c r="N93" s="292"/>
      <c r="O93" s="292"/>
      <c r="P93" s="292"/>
    </row>
    <row r="94" spans="1:15" ht="11.25">
      <c r="A94" s="24"/>
      <c r="H94" s="12"/>
      <c r="I94" s="292"/>
      <c r="K94" s="292"/>
      <c r="M94" s="292"/>
      <c r="O94" s="292"/>
    </row>
    <row r="95" spans="1:16" ht="11.25">
      <c r="A95" s="24"/>
      <c r="J95" s="292"/>
      <c r="L95" s="292"/>
      <c r="N95" s="292"/>
      <c r="P95" s="292"/>
    </row>
    <row r="96" spans="1:16" ht="11.25">
      <c r="A96" s="24"/>
      <c r="H96" s="12"/>
      <c r="I96" s="292"/>
      <c r="J96" s="292"/>
      <c r="K96" s="292"/>
      <c r="L96" s="292"/>
      <c r="M96" s="292"/>
      <c r="N96" s="292"/>
      <c r="O96" s="292"/>
      <c r="P96" s="292"/>
    </row>
    <row r="97" spans="1:15" ht="11.25">
      <c r="A97" s="24"/>
      <c r="H97" s="12"/>
      <c r="I97" s="292"/>
      <c r="K97" s="292"/>
      <c r="M97" s="292"/>
      <c r="O97" s="292"/>
    </row>
    <row r="98" ht="11.25">
      <c r="A98" s="24"/>
    </row>
    <row r="99" spans="1:16" ht="11.25">
      <c r="A99" s="24"/>
      <c r="J99" s="292"/>
      <c r="L99" s="292"/>
      <c r="N99" s="292"/>
      <c r="P99" s="292"/>
    </row>
    <row r="100" spans="1:16" ht="11.25">
      <c r="A100" s="24"/>
      <c r="H100" s="12"/>
      <c r="I100" s="292"/>
      <c r="J100" s="292"/>
      <c r="K100" s="292"/>
      <c r="L100" s="292"/>
      <c r="M100" s="292"/>
      <c r="N100" s="292"/>
      <c r="O100" s="292"/>
      <c r="P100" s="292"/>
    </row>
    <row r="101" spans="1:16" ht="11.25">
      <c r="A101" s="24"/>
      <c r="H101" s="12"/>
      <c r="I101" s="292"/>
      <c r="J101" s="292"/>
      <c r="K101" s="292"/>
      <c r="L101" s="292"/>
      <c r="M101" s="292"/>
      <c r="N101" s="292"/>
      <c r="O101" s="292"/>
      <c r="P101" s="292"/>
    </row>
    <row r="102" spans="1:16" ht="11.25">
      <c r="A102" s="24"/>
      <c r="H102" s="12"/>
      <c r="I102" s="292"/>
      <c r="J102" s="292"/>
      <c r="K102" s="292"/>
      <c r="L102" s="292"/>
      <c r="M102" s="292"/>
      <c r="N102" s="292"/>
      <c r="O102" s="292"/>
      <c r="P102" s="292"/>
    </row>
    <row r="103" spans="1:16" ht="11.25">
      <c r="A103" s="24"/>
      <c r="H103" s="12"/>
      <c r="I103" s="292"/>
      <c r="J103" s="292"/>
      <c r="K103" s="292"/>
      <c r="L103" s="292"/>
      <c r="M103" s="292"/>
      <c r="N103" s="292"/>
      <c r="O103" s="292"/>
      <c r="P103" s="292"/>
    </row>
    <row r="104" spans="1:15" ht="11.25">
      <c r="A104" s="24"/>
      <c r="H104" s="12"/>
      <c r="I104" s="292"/>
      <c r="K104" s="292"/>
      <c r="M104" s="292"/>
      <c r="O104" s="292"/>
    </row>
    <row r="105" spans="1:16" ht="11.25">
      <c r="A105" s="24"/>
      <c r="J105" s="292"/>
      <c r="L105" s="292"/>
      <c r="N105" s="292"/>
      <c r="P105" s="292"/>
    </row>
    <row r="106" spans="1:16" ht="11.25">
      <c r="A106" s="24"/>
      <c r="H106" s="12"/>
      <c r="I106" s="292"/>
      <c r="J106" s="292"/>
      <c r="K106" s="292"/>
      <c r="L106" s="292"/>
      <c r="M106" s="292"/>
      <c r="N106" s="292"/>
      <c r="O106" s="292"/>
      <c r="P106" s="292"/>
    </row>
    <row r="107" spans="1:16" ht="11.25">
      <c r="A107" s="24"/>
      <c r="H107" s="12"/>
      <c r="I107" s="292"/>
      <c r="J107" s="292"/>
      <c r="K107" s="292"/>
      <c r="L107" s="292"/>
      <c r="M107" s="292"/>
      <c r="N107" s="292"/>
      <c r="O107" s="292"/>
      <c r="P107" s="292"/>
    </row>
    <row r="108" spans="1:16" ht="11.25">
      <c r="A108" s="24"/>
      <c r="H108" s="12"/>
      <c r="I108" s="292"/>
      <c r="J108" s="292"/>
      <c r="K108" s="292"/>
      <c r="L108" s="292"/>
      <c r="M108" s="292"/>
      <c r="N108" s="292"/>
      <c r="O108" s="292"/>
      <c r="P108" s="292"/>
    </row>
    <row r="109" spans="1:16" ht="11.25">
      <c r="A109" s="24"/>
      <c r="H109" s="12"/>
      <c r="I109" s="292"/>
      <c r="J109" s="292"/>
      <c r="K109" s="292"/>
      <c r="L109" s="292"/>
      <c r="M109" s="292"/>
      <c r="N109" s="292"/>
      <c r="O109" s="292"/>
      <c r="P109" s="292"/>
    </row>
    <row r="110" spans="1:2" ht="12">
      <c r="A110" s="24"/>
      <c r="B110" s="7"/>
    </row>
    <row r="111" spans="1:2" ht="12">
      <c r="A111" s="24"/>
      <c r="B111" s="21"/>
    </row>
    <row r="112" spans="1:16" ht="11.25">
      <c r="A112" s="24"/>
      <c r="H112" s="12"/>
      <c r="I112" s="292"/>
      <c r="J112" s="292"/>
      <c r="K112" s="292"/>
      <c r="L112" s="292"/>
      <c r="M112" s="292"/>
      <c r="N112" s="292"/>
      <c r="O112" s="292"/>
      <c r="P112" s="292"/>
    </row>
    <row r="113" spans="1:16" ht="11.25">
      <c r="A113" s="24"/>
      <c r="H113" s="12"/>
      <c r="I113" s="292"/>
      <c r="J113" s="292"/>
      <c r="K113" s="292"/>
      <c r="L113" s="292"/>
      <c r="M113" s="292"/>
      <c r="N113" s="292"/>
      <c r="O113" s="292"/>
      <c r="P113" s="292"/>
    </row>
    <row r="114" spans="1:16" ht="11.25">
      <c r="A114" s="24"/>
      <c r="H114" s="12"/>
      <c r="I114" s="292"/>
      <c r="J114" s="292"/>
      <c r="K114" s="292"/>
      <c r="L114" s="292"/>
      <c r="M114" s="292"/>
      <c r="N114" s="292"/>
      <c r="O114" s="292"/>
      <c r="P114" s="292"/>
    </row>
    <row r="115" spans="1:16" ht="11.25">
      <c r="A115" s="24"/>
      <c r="H115" s="12"/>
      <c r="I115" s="292"/>
      <c r="J115" s="292"/>
      <c r="K115" s="292"/>
      <c r="L115" s="292"/>
      <c r="M115" s="292"/>
      <c r="N115" s="292"/>
      <c r="O115" s="292"/>
      <c r="P115" s="292"/>
    </row>
    <row r="116" spans="1:16" ht="11.25">
      <c r="A116" s="24"/>
      <c r="H116" s="12"/>
      <c r="I116" s="292"/>
      <c r="J116" s="292"/>
      <c r="K116" s="292"/>
      <c r="L116" s="292"/>
      <c r="M116" s="292"/>
      <c r="N116" s="292"/>
      <c r="O116" s="292"/>
      <c r="P116" s="292"/>
    </row>
    <row r="117" spans="1:16" ht="11.25">
      <c r="A117" s="24"/>
      <c r="H117" s="12"/>
      <c r="I117" s="292"/>
      <c r="J117" s="292"/>
      <c r="K117" s="292"/>
      <c r="L117" s="292"/>
      <c r="M117" s="292"/>
      <c r="N117" s="292"/>
      <c r="O117" s="292"/>
      <c r="P117" s="292"/>
    </row>
    <row r="118" spans="1:16" ht="11.25">
      <c r="A118" s="24"/>
      <c r="H118" s="12"/>
      <c r="I118" s="292"/>
      <c r="J118" s="292"/>
      <c r="K118" s="292"/>
      <c r="L118" s="292"/>
      <c r="M118" s="292"/>
      <c r="N118" s="292"/>
      <c r="O118" s="292"/>
      <c r="P118" s="292"/>
    </row>
    <row r="119" ht="11.25">
      <c r="A119" s="24"/>
    </row>
    <row r="120" ht="11.25">
      <c r="A120" s="24"/>
    </row>
    <row r="121" spans="1:16" ht="11.25">
      <c r="A121" s="24"/>
      <c r="H121" s="12"/>
      <c r="I121" s="292"/>
      <c r="J121" s="292"/>
      <c r="K121" s="292"/>
      <c r="L121" s="292"/>
      <c r="M121" s="292"/>
      <c r="N121" s="292"/>
      <c r="O121" s="292"/>
      <c r="P121" s="292"/>
    </row>
    <row r="122" spans="1:16" ht="11.25">
      <c r="A122" s="24"/>
      <c r="H122" s="12"/>
      <c r="I122" s="292"/>
      <c r="J122" s="292"/>
      <c r="K122" s="292"/>
      <c r="L122" s="292"/>
      <c r="M122" s="292"/>
      <c r="N122" s="292"/>
      <c r="O122" s="292"/>
      <c r="P122" s="292"/>
    </row>
    <row r="123" spans="1:16" ht="11.25">
      <c r="A123" s="24"/>
      <c r="H123" s="12"/>
      <c r="I123" s="292"/>
      <c r="J123" s="292"/>
      <c r="K123" s="292"/>
      <c r="L123" s="292"/>
      <c r="M123" s="292"/>
      <c r="N123" s="292"/>
      <c r="O123" s="292"/>
      <c r="P123" s="292"/>
    </row>
    <row r="124" spans="1:16" ht="11.25">
      <c r="A124" s="24"/>
      <c r="H124" s="12"/>
      <c r="I124" s="292"/>
      <c r="J124" s="292"/>
      <c r="K124" s="292"/>
      <c r="L124" s="292"/>
      <c r="M124" s="292"/>
      <c r="N124" s="292"/>
      <c r="O124" s="292"/>
      <c r="P124" s="292"/>
    </row>
    <row r="125" spans="1:16" ht="11.25">
      <c r="A125" s="24"/>
      <c r="H125" s="12"/>
      <c r="I125" s="292"/>
      <c r="J125" s="292"/>
      <c r="K125" s="292"/>
      <c r="L125" s="292"/>
      <c r="M125" s="292"/>
      <c r="N125" s="292"/>
      <c r="O125" s="292"/>
      <c r="P125" s="292"/>
    </row>
    <row r="126" spans="1:16" ht="11.25">
      <c r="A126" s="24"/>
      <c r="H126" s="12"/>
      <c r="I126" s="292"/>
      <c r="J126" s="292"/>
      <c r="K126" s="292"/>
      <c r="L126" s="292"/>
      <c r="M126" s="292"/>
      <c r="N126" s="292"/>
      <c r="O126" s="292"/>
      <c r="P126" s="292"/>
    </row>
    <row r="127" spans="1:16" ht="11.25">
      <c r="A127" s="24"/>
      <c r="H127" s="17"/>
      <c r="I127" s="262"/>
      <c r="J127" s="262"/>
      <c r="K127" s="262"/>
      <c r="L127" s="262"/>
      <c r="M127" s="262"/>
      <c r="N127" s="262"/>
      <c r="O127" s="262"/>
      <c r="P127" s="262"/>
    </row>
    <row r="128" spans="1:16" ht="11.25">
      <c r="A128" s="24"/>
      <c r="H128" s="17"/>
      <c r="I128" s="262"/>
      <c r="J128" s="262"/>
      <c r="K128" s="262"/>
      <c r="L128" s="262"/>
      <c r="M128" s="262"/>
      <c r="N128" s="262"/>
      <c r="O128" s="262"/>
      <c r="P128" s="262"/>
    </row>
    <row r="129" spans="1:16" ht="12">
      <c r="A129" s="24"/>
      <c r="B129" s="7"/>
      <c r="H129" s="17"/>
      <c r="I129" s="262"/>
      <c r="J129" s="262"/>
      <c r="K129" s="262"/>
      <c r="L129" s="262"/>
      <c r="M129" s="262"/>
      <c r="N129" s="262"/>
      <c r="O129" s="262"/>
      <c r="P129" s="262"/>
    </row>
    <row r="130" spans="1:16" ht="11.25">
      <c r="A130" s="24"/>
      <c r="H130" s="17"/>
      <c r="I130" s="262"/>
      <c r="J130" s="262"/>
      <c r="K130" s="262"/>
      <c r="L130" s="262"/>
      <c r="M130" s="262"/>
      <c r="N130" s="262"/>
      <c r="O130" s="262"/>
      <c r="P130" s="262"/>
    </row>
    <row r="131" spans="1:16" ht="11.25">
      <c r="A131" s="24"/>
      <c r="H131" s="17"/>
      <c r="I131" s="262"/>
      <c r="J131" s="262"/>
      <c r="K131" s="262"/>
      <c r="L131" s="262"/>
      <c r="M131" s="262"/>
      <c r="N131" s="262"/>
      <c r="O131" s="262"/>
      <c r="P131" s="262"/>
    </row>
    <row r="132" spans="1:16" ht="11.25">
      <c r="A132" s="24"/>
      <c r="H132" s="17"/>
      <c r="I132" s="262"/>
      <c r="J132" s="262"/>
      <c r="K132" s="262"/>
      <c r="L132" s="262"/>
      <c r="M132" s="262"/>
      <c r="N132" s="262"/>
      <c r="O132" s="262"/>
      <c r="P132" s="262"/>
    </row>
    <row r="133" spans="1:16" ht="11.25">
      <c r="A133" s="24"/>
      <c r="H133" s="17"/>
      <c r="I133" s="262"/>
      <c r="J133" s="262"/>
      <c r="K133" s="262"/>
      <c r="L133" s="262"/>
      <c r="M133" s="262"/>
      <c r="N133" s="262"/>
      <c r="O133" s="262"/>
      <c r="P133" s="262"/>
    </row>
    <row r="134" spans="1:16" ht="11.25">
      <c r="A134" s="24"/>
      <c r="H134" s="17"/>
      <c r="I134" s="262"/>
      <c r="J134" s="262"/>
      <c r="K134" s="262"/>
      <c r="L134" s="262"/>
      <c r="M134" s="262"/>
      <c r="N134" s="262"/>
      <c r="O134" s="262"/>
      <c r="P134" s="262"/>
    </row>
    <row r="135" spans="1:16" ht="11.25">
      <c r="A135" s="24"/>
      <c r="H135" s="17"/>
      <c r="I135" s="262"/>
      <c r="J135" s="262"/>
      <c r="K135" s="262"/>
      <c r="L135" s="262"/>
      <c r="M135" s="262"/>
      <c r="N135" s="262"/>
      <c r="O135" s="262"/>
      <c r="P135" s="262"/>
    </row>
    <row r="136" spans="1:16" ht="11.25">
      <c r="A136" s="24"/>
      <c r="H136" s="17"/>
      <c r="I136" s="262"/>
      <c r="J136" s="262"/>
      <c r="K136" s="262"/>
      <c r="L136" s="262"/>
      <c r="M136" s="262"/>
      <c r="N136" s="262"/>
      <c r="O136" s="262"/>
      <c r="P136" s="262"/>
    </row>
    <row r="137" spans="1:16" ht="11.25">
      <c r="A137" s="24"/>
      <c r="H137" s="17"/>
      <c r="I137" s="262"/>
      <c r="J137" s="262"/>
      <c r="K137" s="262"/>
      <c r="L137" s="262"/>
      <c r="M137" s="262"/>
      <c r="N137" s="262"/>
      <c r="O137" s="262"/>
      <c r="P137" s="262"/>
    </row>
    <row r="138" spans="1:16" ht="12">
      <c r="A138" s="24"/>
      <c r="B138" s="7"/>
      <c r="H138" s="17"/>
      <c r="I138" s="262"/>
      <c r="J138" s="262"/>
      <c r="K138" s="262"/>
      <c r="L138" s="262"/>
      <c r="M138" s="262"/>
      <c r="N138" s="262"/>
      <c r="O138" s="262"/>
      <c r="P138" s="262"/>
    </row>
    <row r="139" spans="1:16" ht="11.25">
      <c r="A139" s="24"/>
      <c r="H139" s="17"/>
      <c r="I139" s="262"/>
      <c r="J139" s="262"/>
      <c r="K139" s="262"/>
      <c r="L139" s="262"/>
      <c r="M139" s="262"/>
      <c r="N139" s="262"/>
      <c r="O139" s="262"/>
      <c r="P139" s="262"/>
    </row>
    <row r="140" spans="1:2" ht="12">
      <c r="A140" s="24"/>
      <c r="B140" s="21"/>
    </row>
    <row r="141" spans="1:16" ht="11.25">
      <c r="A141" s="24"/>
      <c r="H141" s="17"/>
      <c r="I141" s="262"/>
      <c r="J141" s="262"/>
      <c r="K141" s="262"/>
      <c r="L141" s="262"/>
      <c r="M141" s="262"/>
      <c r="N141" s="262"/>
      <c r="O141" s="262"/>
      <c r="P141" s="262"/>
    </row>
    <row r="142" spans="1:16" ht="11.25">
      <c r="A142" s="24"/>
      <c r="H142" s="17"/>
      <c r="I142" s="262"/>
      <c r="J142" s="262"/>
      <c r="K142" s="262"/>
      <c r="L142" s="262"/>
      <c r="M142" s="262"/>
      <c r="N142" s="262"/>
      <c r="O142" s="262"/>
      <c r="P142" s="262"/>
    </row>
    <row r="143" spans="1:16" ht="11.25">
      <c r="A143" s="24"/>
      <c r="H143" s="17"/>
      <c r="I143" s="262"/>
      <c r="J143" s="262"/>
      <c r="K143" s="262"/>
      <c r="L143" s="262"/>
      <c r="M143" s="262"/>
      <c r="N143" s="262"/>
      <c r="O143" s="262"/>
      <c r="P143" s="262"/>
    </row>
    <row r="144" spans="1:16" ht="11.25">
      <c r="A144" s="24"/>
      <c r="H144" s="17"/>
      <c r="I144" s="262"/>
      <c r="J144" s="262"/>
      <c r="K144" s="262"/>
      <c r="L144" s="262"/>
      <c r="M144" s="262"/>
      <c r="N144" s="262"/>
      <c r="O144" s="262"/>
      <c r="P144" s="262"/>
    </row>
    <row r="145" spans="1:16" ht="11.25">
      <c r="A145" s="24"/>
      <c r="H145" s="17"/>
      <c r="I145" s="262"/>
      <c r="J145" s="262"/>
      <c r="K145" s="262"/>
      <c r="L145" s="262"/>
      <c r="M145" s="262"/>
      <c r="N145" s="262"/>
      <c r="O145" s="262"/>
      <c r="P145" s="262"/>
    </row>
    <row r="146" spans="1:16" ht="11.25">
      <c r="A146" s="24"/>
      <c r="H146" s="17"/>
      <c r="I146" s="262"/>
      <c r="J146" s="262"/>
      <c r="K146" s="262"/>
      <c r="L146" s="262"/>
      <c r="M146" s="262"/>
      <c r="N146" s="262"/>
      <c r="O146" s="262"/>
      <c r="P146" s="262"/>
    </row>
    <row r="147" spans="1:16" ht="11.25">
      <c r="A147" s="24"/>
      <c r="H147" s="25"/>
      <c r="I147" s="297"/>
      <c r="J147" s="262"/>
      <c r="K147" s="297"/>
      <c r="L147" s="262"/>
      <c r="M147" s="297"/>
      <c r="N147" s="262"/>
      <c r="O147" s="297"/>
      <c r="P147" s="262"/>
    </row>
    <row r="148" spans="1:16" ht="11.25">
      <c r="A148" s="24"/>
      <c r="H148" s="17"/>
      <c r="I148" s="262"/>
      <c r="J148" s="262"/>
      <c r="K148" s="262"/>
      <c r="L148" s="262"/>
      <c r="M148" s="262"/>
      <c r="N148" s="262"/>
      <c r="O148" s="262"/>
      <c r="P148" s="262"/>
    </row>
    <row r="149" spans="8:16" ht="11.25">
      <c r="H149" s="17"/>
      <c r="I149" s="262"/>
      <c r="J149" s="262"/>
      <c r="K149" s="262"/>
      <c r="L149" s="262"/>
      <c r="M149" s="262"/>
      <c r="N149" s="262"/>
      <c r="O149" s="262"/>
      <c r="P149" s="262"/>
    </row>
    <row r="151" spans="1:2" ht="12">
      <c r="A151" s="24"/>
      <c r="B151" s="7"/>
    </row>
    <row r="152" spans="1:16" ht="11.25">
      <c r="A152" s="24"/>
      <c r="H152" s="17"/>
      <c r="I152" s="262"/>
      <c r="J152" s="262"/>
      <c r="K152" s="262"/>
      <c r="L152" s="262"/>
      <c r="M152" s="262"/>
      <c r="N152" s="262"/>
      <c r="O152" s="262"/>
      <c r="P152" s="262"/>
    </row>
    <row r="153" spans="1:16" ht="11.25">
      <c r="A153" s="24"/>
      <c r="H153" s="17"/>
      <c r="I153" s="262"/>
      <c r="J153" s="262"/>
      <c r="K153" s="262"/>
      <c r="L153" s="262"/>
      <c r="M153" s="262"/>
      <c r="N153" s="262"/>
      <c r="O153" s="262"/>
      <c r="P153" s="262"/>
    </row>
    <row r="154" spans="1:16" ht="11.25">
      <c r="A154" s="24"/>
      <c r="H154" s="17"/>
      <c r="I154" s="262"/>
      <c r="J154" s="262"/>
      <c r="K154" s="262"/>
      <c r="L154" s="262"/>
      <c r="M154" s="262"/>
      <c r="N154" s="262"/>
      <c r="O154" s="262"/>
      <c r="P154" s="262"/>
    </row>
    <row r="155" spans="8:16" ht="11.25">
      <c r="H155" s="12"/>
      <c r="I155" s="292"/>
      <c r="J155" s="292"/>
      <c r="K155" s="292"/>
      <c r="L155" s="292"/>
      <c r="M155" s="292"/>
      <c r="N155" s="292"/>
      <c r="O155" s="292"/>
      <c r="P155" s="292"/>
    </row>
    <row r="156" spans="8:16" ht="11.25">
      <c r="H156" s="12"/>
      <c r="I156" s="292"/>
      <c r="J156" s="292"/>
      <c r="K156" s="292"/>
      <c r="L156" s="292"/>
      <c r="M156" s="292"/>
      <c r="N156" s="292"/>
      <c r="O156" s="292"/>
      <c r="P156" s="292"/>
    </row>
    <row r="157" spans="1:16" ht="12">
      <c r="A157" s="24"/>
      <c r="B157" s="7"/>
      <c r="H157" s="12"/>
      <c r="I157" s="292"/>
      <c r="J157" s="292"/>
      <c r="K157" s="292"/>
      <c r="L157" s="292"/>
      <c r="M157" s="292"/>
      <c r="N157" s="292"/>
      <c r="O157" s="292"/>
      <c r="P157" s="292"/>
    </row>
    <row r="158" spans="1:16" ht="12">
      <c r="A158" s="24"/>
      <c r="B158" s="7"/>
      <c r="H158" s="12"/>
      <c r="I158" s="292"/>
      <c r="J158" s="292"/>
      <c r="K158" s="292"/>
      <c r="L158" s="292"/>
      <c r="M158" s="292"/>
      <c r="N158" s="292"/>
      <c r="O158" s="292"/>
      <c r="P158" s="292"/>
    </row>
    <row r="159" spans="1:16" ht="12">
      <c r="A159" s="24"/>
      <c r="B159" s="7"/>
      <c r="H159" s="12"/>
      <c r="I159" s="292"/>
      <c r="J159" s="292"/>
      <c r="K159" s="292"/>
      <c r="L159" s="292"/>
      <c r="M159" s="292"/>
      <c r="N159" s="292"/>
      <c r="O159" s="292"/>
      <c r="P159" s="292"/>
    </row>
    <row r="161" spans="2:16" ht="12">
      <c r="B161" s="7"/>
      <c r="H161" s="12"/>
      <c r="I161" s="292"/>
      <c r="J161" s="292"/>
      <c r="K161" s="292"/>
      <c r="L161" s="292"/>
      <c r="M161" s="292"/>
      <c r="N161" s="292"/>
      <c r="O161" s="292"/>
      <c r="P161" s="292"/>
    </row>
    <row r="162" spans="8:15" ht="11.25">
      <c r="H162" s="12"/>
      <c r="I162" s="292"/>
      <c r="K162" s="292"/>
      <c r="M162" s="292"/>
      <c r="O162" s="292"/>
    </row>
  </sheetData>
  <mergeCells count="9">
    <mergeCell ref="C6:D6"/>
    <mergeCell ref="I5:J5"/>
    <mergeCell ref="I6:J6"/>
    <mergeCell ref="K5:L5"/>
    <mergeCell ref="K6:L6"/>
    <mergeCell ref="M5:N5"/>
    <mergeCell ref="M6:N6"/>
    <mergeCell ref="O5:P5"/>
    <mergeCell ref="O6:P6"/>
  </mergeCells>
  <printOptions/>
  <pageMargins left="0.5" right="0.5" top="1" bottom="1" header="0.5" footer="0.5"/>
  <pageSetup fitToHeight="2" fitToWidth="1" horizontalDpi="1200" verticalDpi="1200" orientation="portrait" scale="56" r:id="rId1"/>
  <headerFooter alignWithMargins="0">
    <oddFooter>&amp;L&amp;"Braggadocio,Regular"CSP&amp;X2&amp;RPage &amp;P of &amp;N</oddFooter>
  </headerFooter>
  <rowBreaks count="1" manualBreakCount="1">
    <brk id="55" max="255" man="1"/>
  </rowBreaks>
  <ignoredErrors>
    <ignoredError sqref="H47:J47 L47:N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A1">
      <pane xSplit="7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28" sqref="K28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5" width="9.140625" style="1" customWidth="1"/>
    <col min="6" max="6" width="14.28125" style="1" customWidth="1"/>
    <col min="7" max="7" width="5.140625" style="1" customWidth="1"/>
    <col min="8" max="8" width="27.28125" style="1" customWidth="1"/>
    <col min="9" max="10" width="22.8515625" style="38" customWidth="1"/>
    <col min="11" max="11" width="25.421875" style="38" customWidth="1"/>
    <col min="12" max="12" width="25.28125" style="38" customWidth="1"/>
    <col min="13" max="14" width="9.140625" style="1" customWidth="1"/>
    <col min="15" max="15" width="11.421875" style="1" customWidth="1"/>
    <col min="16" max="17" width="30.7109375" style="1" customWidth="1"/>
    <col min="18" max="16384" width="9.140625" style="1" customWidth="1"/>
  </cols>
  <sheetData>
    <row r="1" spans="1:18" ht="12">
      <c r="A1" s="123" t="s">
        <v>205</v>
      </c>
      <c r="B1" s="123"/>
      <c r="C1" s="123"/>
      <c r="D1" s="123"/>
      <c r="E1" s="123"/>
      <c r="F1" s="123"/>
      <c r="G1" s="123"/>
      <c r="H1" s="123"/>
      <c r="I1" s="134"/>
      <c r="J1" s="134"/>
      <c r="K1" s="134"/>
      <c r="L1" s="134"/>
      <c r="M1" s="134"/>
      <c r="N1" s="134"/>
      <c r="O1" s="134"/>
      <c r="P1" s="134"/>
      <c r="Q1" s="123"/>
      <c r="R1" s="2"/>
    </row>
    <row r="2" spans="1:18" ht="12">
      <c r="A2" s="7" t="s">
        <v>197</v>
      </c>
      <c r="B2" s="7"/>
      <c r="C2" s="7"/>
      <c r="D2" s="7"/>
      <c r="E2" s="7"/>
      <c r="F2" s="7"/>
      <c r="M2" s="48"/>
      <c r="N2" s="48"/>
      <c r="O2" s="38"/>
      <c r="P2" s="62"/>
      <c r="R2" s="3"/>
    </row>
    <row r="3" spans="13:18" ht="11.25">
      <c r="M3" s="38"/>
      <c r="N3" s="38"/>
      <c r="O3" s="38"/>
      <c r="P3" s="63"/>
      <c r="R3" s="4"/>
    </row>
    <row r="4" spans="13:17" ht="11.25">
      <c r="M4" s="38"/>
      <c r="N4" s="38"/>
      <c r="O4" s="38"/>
      <c r="P4" s="38"/>
      <c r="Q4" s="38"/>
    </row>
    <row r="5" spans="1:17" ht="27" customHeight="1">
      <c r="A5" s="23"/>
      <c r="B5" s="6"/>
      <c r="C5" s="6"/>
      <c r="D5" s="6"/>
      <c r="E5" s="6"/>
      <c r="F5" s="6"/>
      <c r="G5" s="6"/>
      <c r="H5" s="532" t="s">
        <v>198</v>
      </c>
      <c r="I5" s="534" t="s">
        <v>174</v>
      </c>
      <c r="J5" s="534" t="s">
        <v>175</v>
      </c>
      <c r="K5" s="536" t="s">
        <v>184</v>
      </c>
      <c r="L5" s="536" t="s">
        <v>185</v>
      </c>
      <c r="M5" s="161"/>
      <c r="N5" s="38"/>
      <c r="O5" s="38"/>
      <c r="P5" s="531"/>
      <c r="Q5" s="39"/>
    </row>
    <row r="6" spans="1:17" ht="12">
      <c r="A6" s="8" t="s">
        <v>1</v>
      </c>
      <c r="B6" s="9"/>
      <c r="C6" s="529" t="s">
        <v>0</v>
      </c>
      <c r="D6" s="529"/>
      <c r="E6" s="9"/>
      <c r="F6" s="9"/>
      <c r="G6" s="9"/>
      <c r="H6" s="533"/>
      <c r="I6" s="535"/>
      <c r="J6" s="535"/>
      <c r="K6" s="520"/>
      <c r="L6" s="520"/>
      <c r="M6" s="58"/>
      <c r="N6" s="48"/>
      <c r="O6" s="48"/>
      <c r="P6" s="531"/>
      <c r="Q6" s="40"/>
    </row>
    <row r="7" spans="1:17" ht="45">
      <c r="A7" s="10"/>
      <c r="H7" s="74"/>
      <c r="I7" s="298" t="s">
        <v>624</v>
      </c>
      <c r="J7" s="152" t="s">
        <v>628</v>
      </c>
      <c r="K7" s="152" t="s">
        <v>640</v>
      </c>
      <c r="L7" s="152" t="s">
        <v>641</v>
      </c>
      <c r="M7" s="38"/>
      <c r="N7" s="38"/>
      <c r="O7" s="38"/>
      <c r="P7" s="41"/>
      <c r="Q7" s="41"/>
    </row>
    <row r="8" spans="1:17" ht="12">
      <c r="A8" s="11">
        <v>1</v>
      </c>
      <c r="B8" s="165" t="s">
        <v>66</v>
      </c>
      <c r="C8" s="48"/>
      <c r="D8" s="48"/>
      <c r="E8" s="48"/>
      <c r="F8" s="48"/>
      <c r="G8" s="164"/>
      <c r="H8" s="163"/>
      <c r="I8" s="156"/>
      <c r="J8" s="156"/>
      <c r="K8" s="156"/>
      <c r="L8" s="156"/>
      <c r="M8" s="48"/>
      <c r="N8" s="48"/>
      <c r="O8" s="48"/>
      <c r="P8" s="40"/>
      <c r="Q8" s="40"/>
    </row>
    <row r="9" spans="1:17" ht="11.25">
      <c r="A9" s="10"/>
      <c r="C9" s="38"/>
      <c r="H9" s="27"/>
      <c r="I9" s="70"/>
      <c r="J9" s="70"/>
      <c r="K9" s="70"/>
      <c r="L9" s="70"/>
      <c r="M9" s="38"/>
      <c r="N9" s="38"/>
      <c r="O9" s="38"/>
      <c r="P9" s="40"/>
      <c r="Q9" s="40"/>
    </row>
    <row r="10" spans="1:17" ht="59.25">
      <c r="A10" s="11">
        <v>2</v>
      </c>
      <c r="B10" s="7" t="s">
        <v>67</v>
      </c>
      <c r="C10" s="7"/>
      <c r="D10" s="7"/>
      <c r="H10" s="79" t="s">
        <v>634</v>
      </c>
      <c r="I10" s="70"/>
      <c r="J10" s="152" t="s">
        <v>635</v>
      </c>
      <c r="K10" s="152" t="s">
        <v>644</v>
      </c>
      <c r="L10" s="152" t="s">
        <v>645</v>
      </c>
      <c r="M10" s="48"/>
      <c r="N10" s="38"/>
      <c r="O10" s="38"/>
      <c r="P10" s="40"/>
      <c r="Q10" s="40"/>
    </row>
    <row r="11" spans="1:17" ht="11.25">
      <c r="A11" s="11" t="s">
        <v>21</v>
      </c>
      <c r="B11" s="1" t="s">
        <v>68</v>
      </c>
      <c r="H11" s="27"/>
      <c r="I11" s="70"/>
      <c r="J11" s="70"/>
      <c r="K11" s="70"/>
      <c r="L11" s="70"/>
      <c r="M11" s="38"/>
      <c r="N11" s="38"/>
      <c r="O11" s="38"/>
      <c r="P11" s="40"/>
      <c r="Q11" s="40"/>
    </row>
    <row r="12" spans="1:17" ht="11.25">
      <c r="A12" s="11" t="s">
        <v>22</v>
      </c>
      <c r="B12" s="1" t="s">
        <v>69</v>
      </c>
      <c r="H12" s="27"/>
      <c r="I12" s="70"/>
      <c r="J12" s="70"/>
      <c r="K12" s="70"/>
      <c r="L12" s="70"/>
      <c r="M12" s="38"/>
      <c r="N12" s="38"/>
      <c r="O12" s="38"/>
      <c r="P12" s="40"/>
      <c r="Q12" s="40"/>
    </row>
    <row r="13" spans="1:17" ht="11.25">
      <c r="A13" s="11" t="s">
        <v>23</v>
      </c>
      <c r="B13" s="1" t="s">
        <v>70</v>
      </c>
      <c r="H13" s="27"/>
      <c r="I13" s="70"/>
      <c r="J13" s="70"/>
      <c r="K13" s="70"/>
      <c r="L13" s="70"/>
      <c r="M13" s="38"/>
      <c r="N13" s="38"/>
      <c r="O13" s="38"/>
      <c r="P13" s="40"/>
      <c r="Q13" s="40"/>
    </row>
    <row r="14" spans="1:17" ht="11.25">
      <c r="A14" s="11" t="s">
        <v>24</v>
      </c>
      <c r="B14" s="1" t="s">
        <v>71</v>
      </c>
      <c r="H14" s="27"/>
      <c r="I14" s="70"/>
      <c r="J14" s="70"/>
      <c r="K14" s="70"/>
      <c r="L14" s="70"/>
      <c r="M14" s="38"/>
      <c r="N14" s="38"/>
      <c r="O14" s="38"/>
      <c r="P14" s="40"/>
      <c r="Q14" s="40"/>
    </row>
    <row r="15" spans="1:17" ht="12" thickBot="1">
      <c r="A15" s="18" t="s">
        <v>25</v>
      </c>
      <c r="B15" s="19" t="s">
        <v>72</v>
      </c>
      <c r="C15" s="19"/>
      <c r="D15" s="19"/>
      <c r="E15" s="19"/>
      <c r="F15" s="19"/>
      <c r="G15" s="19"/>
      <c r="H15" s="76"/>
      <c r="I15" s="70"/>
      <c r="J15" s="70"/>
      <c r="K15" s="70"/>
      <c r="L15" s="70"/>
      <c r="M15" s="38"/>
      <c r="N15" s="38"/>
      <c r="O15" s="38"/>
      <c r="P15" s="40"/>
      <c r="Q15" s="40"/>
    </row>
    <row r="16" spans="1:17" ht="12" thickTop="1">
      <c r="A16" s="20"/>
      <c r="B16" s="14" t="s">
        <v>73</v>
      </c>
      <c r="C16" s="14"/>
      <c r="D16" s="14"/>
      <c r="E16" s="14"/>
      <c r="F16" s="16"/>
      <c r="G16" s="16"/>
      <c r="H16" s="78"/>
      <c r="I16" s="157"/>
      <c r="J16" s="157"/>
      <c r="K16" s="157"/>
      <c r="L16" s="157"/>
      <c r="M16" s="38"/>
      <c r="N16" s="38"/>
      <c r="O16" s="38"/>
      <c r="P16" s="40"/>
      <c r="Q16" s="40"/>
    </row>
    <row r="17" spans="1:17" ht="11.25">
      <c r="A17" s="11"/>
      <c r="H17" s="27"/>
      <c r="I17" s="70"/>
      <c r="J17" s="70"/>
      <c r="K17" s="70"/>
      <c r="L17" s="70"/>
      <c r="M17" s="38"/>
      <c r="N17" s="38"/>
      <c r="O17" s="38"/>
      <c r="P17" s="40"/>
      <c r="Q17" s="40"/>
    </row>
    <row r="18" spans="1:17" ht="12">
      <c r="A18" s="11">
        <v>3</v>
      </c>
      <c r="B18" s="7" t="s">
        <v>74</v>
      </c>
      <c r="C18" s="7"/>
      <c r="D18" s="7"/>
      <c r="E18" s="7"/>
      <c r="F18" s="7"/>
      <c r="H18" s="27"/>
      <c r="I18" s="70"/>
      <c r="J18" s="70"/>
      <c r="K18" s="70"/>
      <c r="L18" s="70"/>
      <c r="M18" s="48"/>
      <c r="N18" s="48"/>
      <c r="O18" s="38"/>
      <c r="P18" s="40"/>
      <c r="Q18" s="40"/>
    </row>
    <row r="19" spans="1:17" ht="11.25">
      <c r="A19" s="11" t="s">
        <v>28</v>
      </c>
      <c r="B19" s="1" t="s">
        <v>68</v>
      </c>
      <c r="H19" s="79"/>
      <c r="I19" s="70"/>
      <c r="J19" s="155"/>
      <c r="K19" s="325"/>
      <c r="L19" s="325"/>
      <c r="M19" s="38"/>
      <c r="N19" s="38"/>
      <c r="O19" s="38"/>
      <c r="P19" s="40"/>
      <c r="Q19" s="40"/>
    </row>
    <row r="20" spans="1:17" ht="11.25">
      <c r="A20" s="11" t="s">
        <v>29</v>
      </c>
      <c r="B20" s="1" t="s">
        <v>70</v>
      </c>
      <c r="H20" s="27"/>
      <c r="I20" s="70"/>
      <c r="J20" s="155"/>
      <c r="K20" s="325"/>
      <c r="L20" s="325"/>
      <c r="M20" s="38"/>
      <c r="N20" s="38"/>
      <c r="O20" s="38"/>
      <c r="P20" s="42"/>
      <c r="Q20" s="42"/>
    </row>
    <row r="21" spans="1:17" ht="11.25">
      <c r="A21" s="11" t="s">
        <v>30</v>
      </c>
      <c r="B21" s="1" t="s">
        <v>72</v>
      </c>
      <c r="H21" s="79"/>
      <c r="I21" s="70"/>
      <c r="J21" s="155"/>
      <c r="K21" s="325"/>
      <c r="L21" s="325"/>
      <c r="M21" s="38"/>
      <c r="N21" s="38"/>
      <c r="O21" s="38"/>
      <c r="P21" s="40"/>
      <c r="Q21" s="40"/>
    </row>
    <row r="22" spans="1:17" ht="11.25">
      <c r="A22" s="11" t="s">
        <v>75</v>
      </c>
      <c r="B22" s="1" t="s">
        <v>76</v>
      </c>
      <c r="H22" s="27"/>
      <c r="I22" s="70"/>
      <c r="J22" s="155"/>
      <c r="K22" s="325"/>
      <c r="L22" s="325"/>
      <c r="M22" s="38"/>
      <c r="N22" s="38"/>
      <c r="O22" s="38"/>
      <c r="P22" s="40"/>
      <c r="Q22" s="40"/>
    </row>
    <row r="23" spans="1:17" ht="22.5">
      <c r="A23" s="11" t="s">
        <v>77</v>
      </c>
      <c r="B23" s="1" t="s">
        <v>78</v>
      </c>
      <c r="H23" s="79" t="s">
        <v>368</v>
      </c>
      <c r="I23" s="70"/>
      <c r="J23" s="155"/>
      <c r="K23" s="325"/>
      <c r="L23" s="325"/>
      <c r="M23" s="38"/>
      <c r="N23" s="38"/>
      <c r="O23" s="38"/>
      <c r="P23" s="42"/>
      <c r="Q23" s="40"/>
    </row>
    <row r="24" spans="1:17" ht="12" thickBot="1">
      <c r="A24" s="11" t="s">
        <v>53</v>
      </c>
      <c r="B24" s="1" t="s">
        <v>79</v>
      </c>
      <c r="H24" s="27"/>
      <c r="I24" s="70"/>
      <c r="J24" s="70"/>
      <c r="K24" s="70"/>
      <c r="L24" s="70"/>
      <c r="M24" s="38"/>
      <c r="N24" s="38"/>
      <c r="O24" s="38"/>
      <c r="P24" s="40"/>
      <c r="Q24" s="40"/>
    </row>
    <row r="25" spans="1:17" ht="12" thickTop="1">
      <c r="A25" s="13"/>
      <c r="B25" s="14" t="s">
        <v>80</v>
      </c>
      <c r="C25" s="14"/>
      <c r="D25" s="14"/>
      <c r="E25" s="14"/>
      <c r="F25" s="14"/>
      <c r="G25" s="14"/>
      <c r="H25" s="75"/>
      <c r="I25" s="157"/>
      <c r="J25" s="157"/>
      <c r="K25" s="157"/>
      <c r="L25" s="157"/>
      <c r="M25" s="38"/>
      <c r="N25" s="38"/>
      <c r="O25" s="38"/>
      <c r="P25" s="40"/>
      <c r="Q25" s="40"/>
    </row>
    <row r="26" spans="1:17" ht="11.25">
      <c r="A26" s="11"/>
      <c r="H26" s="27"/>
      <c r="I26" s="155"/>
      <c r="J26" s="510"/>
      <c r="K26" s="510"/>
      <c r="L26" s="510"/>
      <c r="M26" s="38"/>
      <c r="N26" s="38"/>
      <c r="O26" s="38"/>
      <c r="P26" s="40"/>
      <c r="Q26" s="40"/>
    </row>
    <row r="27" spans="1:17" ht="12">
      <c r="A27" s="11">
        <v>4</v>
      </c>
      <c r="B27" s="7" t="s">
        <v>81</v>
      </c>
      <c r="C27" s="7"/>
      <c r="D27" s="7"/>
      <c r="E27" s="7"/>
      <c r="F27" s="7"/>
      <c r="G27" s="7"/>
      <c r="H27" s="80"/>
      <c r="I27" s="509"/>
      <c r="J27" s="511"/>
      <c r="K27" s="156"/>
      <c r="L27" s="156"/>
      <c r="M27" s="48"/>
      <c r="N27" s="48"/>
      <c r="O27" s="48"/>
      <c r="P27" s="38"/>
      <c r="Q27" s="38"/>
    </row>
    <row r="28" spans="1:17" ht="125.25">
      <c r="A28" s="11" t="s">
        <v>54</v>
      </c>
      <c r="B28" s="1" t="s">
        <v>82</v>
      </c>
      <c r="H28" s="79" t="s">
        <v>646</v>
      </c>
      <c r="I28" s="155"/>
      <c r="J28" s="70"/>
      <c r="K28" s="325" t="s">
        <v>647</v>
      </c>
      <c r="L28" s="325" t="s">
        <v>648</v>
      </c>
      <c r="M28" s="38"/>
      <c r="N28" s="38"/>
      <c r="O28" s="38"/>
      <c r="P28" s="40"/>
      <c r="Q28" s="42"/>
    </row>
    <row r="29" spans="1:17" ht="11.25">
      <c r="A29" s="11" t="s">
        <v>55</v>
      </c>
      <c r="B29" s="1" t="s">
        <v>83</v>
      </c>
      <c r="H29" s="79"/>
      <c r="I29" s="155"/>
      <c r="J29" s="511"/>
      <c r="K29" s="70"/>
      <c r="L29" s="70"/>
      <c r="M29" s="38"/>
      <c r="N29" s="38"/>
      <c r="O29" s="38"/>
      <c r="P29" s="40"/>
      <c r="Q29" s="42"/>
    </row>
    <row r="30" spans="1:17" ht="22.5">
      <c r="A30" s="11" t="s">
        <v>56</v>
      </c>
      <c r="B30" s="1" t="s">
        <v>84</v>
      </c>
      <c r="H30" s="79" t="s">
        <v>367</v>
      </c>
      <c r="I30" s="155"/>
      <c r="J30" s="325"/>
      <c r="K30" s="70"/>
      <c r="L30" s="70"/>
      <c r="M30" s="38"/>
      <c r="N30" s="38"/>
      <c r="O30" s="38"/>
      <c r="P30" s="40"/>
      <c r="Q30" s="42"/>
    </row>
    <row r="31" spans="1:17" ht="11.25">
      <c r="A31" s="11" t="s">
        <v>85</v>
      </c>
      <c r="C31" s="1" t="s">
        <v>2</v>
      </c>
      <c r="H31" s="27"/>
      <c r="I31" s="155"/>
      <c r="J31" s="70"/>
      <c r="K31" s="70"/>
      <c r="L31" s="70"/>
      <c r="M31" s="38"/>
      <c r="N31" s="38"/>
      <c r="O31" s="38"/>
      <c r="P31" s="40"/>
      <c r="Q31" s="42"/>
    </row>
    <row r="32" spans="1:17" ht="11.25">
      <c r="A32" s="11" t="s">
        <v>86</v>
      </c>
      <c r="C32" s="1" t="s">
        <v>3</v>
      </c>
      <c r="H32" s="27"/>
      <c r="I32" s="155"/>
      <c r="J32" s="70"/>
      <c r="K32" s="70"/>
      <c r="L32" s="70"/>
      <c r="M32" s="38"/>
      <c r="N32" s="38"/>
      <c r="O32" s="38"/>
      <c r="P32" s="42"/>
      <c r="Q32" s="12"/>
    </row>
    <row r="33" spans="1:17" ht="12" thickBot="1">
      <c r="A33" s="18" t="s">
        <v>87</v>
      </c>
      <c r="B33" s="19"/>
      <c r="C33" s="19" t="s">
        <v>88</v>
      </c>
      <c r="D33" s="19"/>
      <c r="E33" s="19"/>
      <c r="F33" s="19"/>
      <c r="G33" s="19"/>
      <c r="H33" s="76"/>
      <c r="I33" s="70"/>
      <c r="J33" s="70"/>
      <c r="K33" s="70"/>
      <c r="L33" s="70"/>
      <c r="M33" s="38"/>
      <c r="N33" s="38"/>
      <c r="O33" s="38"/>
      <c r="P33" s="42"/>
      <c r="Q33" s="12"/>
    </row>
    <row r="34" spans="1:17" ht="12" thickTop="1">
      <c r="A34" s="20"/>
      <c r="B34" s="14" t="s">
        <v>89</v>
      </c>
      <c r="C34" s="14"/>
      <c r="D34" s="14"/>
      <c r="E34" s="14"/>
      <c r="F34" s="14"/>
      <c r="G34" s="14"/>
      <c r="H34" s="78"/>
      <c r="I34" s="157"/>
      <c r="J34" s="157"/>
      <c r="K34" s="157"/>
      <c r="L34" s="157"/>
      <c r="M34" s="38"/>
      <c r="N34" s="38"/>
      <c r="O34" s="38"/>
      <c r="P34" s="42"/>
      <c r="Q34" s="12"/>
    </row>
    <row r="35" spans="1:17" ht="11.25">
      <c r="A35" s="11"/>
      <c r="H35" s="27"/>
      <c r="I35" s="70"/>
      <c r="J35" s="70"/>
      <c r="K35" s="70"/>
      <c r="L35" s="70"/>
      <c r="M35" s="38"/>
      <c r="N35" s="38"/>
      <c r="O35" s="38"/>
      <c r="P35" s="42"/>
      <c r="Q35" s="12"/>
    </row>
    <row r="36" spans="1:17" ht="23.25">
      <c r="A36" s="11">
        <v>5</v>
      </c>
      <c r="B36" s="21" t="s">
        <v>42</v>
      </c>
      <c r="C36" s="43"/>
      <c r="D36" s="38"/>
      <c r="E36" s="38"/>
      <c r="F36" s="38"/>
      <c r="G36" s="38"/>
      <c r="H36" s="129" t="s">
        <v>352</v>
      </c>
      <c r="I36" s="70"/>
      <c r="J36" s="154" t="s">
        <v>633</v>
      </c>
      <c r="K36" s="154" t="s">
        <v>633</v>
      </c>
      <c r="L36" s="154" t="s">
        <v>633</v>
      </c>
      <c r="M36" s="48"/>
      <c r="N36" s="48"/>
      <c r="O36" s="48"/>
      <c r="P36" s="42"/>
      <c r="Q36" s="12"/>
    </row>
    <row r="37" spans="1:17" ht="11.25">
      <c r="A37" s="11" t="s">
        <v>57</v>
      </c>
      <c r="B37" s="61" t="s">
        <v>161</v>
      </c>
      <c r="C37" s="44"/>
      <c r="D37" s="38"/>
      <c r="E37" s="38"/>
      <c r="F37" s="38"/>
      <c r="G37" s="184">
        <v>0.05</v>
      </c>
      <c r="H37" s="129"/>
      <c r="I37" s="153">
        <v>0.05</v>
      </c>
      <c r="J37" s="153"/>
      <c r="K37" s="153"/>
      <c r="L37" s="153"/>
      <c r="M37" s="38"/>
      <c r="N37" s="38"/>
      <c r="O37" s="38"/>
      <c r="P37" s="42"/>
      <c r="Q37" s="12"/>
    </row>
    <row r="38" spans="1:17" ht="22.5">
      <c r="A38" s="11" t="s">
        <v>58</v>
      </c>
      <c r="B38" s="34" t="s">
        <v>44</v>
      </c>
      <c r="C38" s="38"/>
      <c r="D38" s="38"/>
      <c r="E38" s="38"/>
      <c r="F38" s="38"/>
      <c r="G38" s="184">
        <v>0.02</v>
      </c>
      <c r="H38" s="129"/>
      <c r="I38" s="327" t="s">
        <v>625</v>
      </c>
      <c r="J38" s="153"/>
      <c r="K38" s="153"/>
      <c r="L38" s="153"/>
      <c r="M38" s="38"/>
      <c r="N38" s="38"/>
      <c r="O38" s="38"/>
      <c r="P38" s="42"/>
      <c r="Q38" s="12"/>
    </row>
    <row r="39" spans="1:17" ht="45">
      <c r="A39" s="11" t="s">
        <v>59</v>
      </c>
      <c r="B39" s="34" t="s">
        <v>45</v>
      </c>
      <c r="C39" s="38"/>
      <c r="D39" s="38"/>
      <c r="E39" s="38"/>
      <c r="F39" s="38"/>
      <c r="G39" s="98"/>
      <c r="H39" s="129"/>
      <c r="I39" s="154" t="s">
        <v>618</v>
      </c>
      <c r="J39" s="154"/>
      <c r="K39" s="154"/>
      <c r="L39" s="154"/>
      <c r="M39" s="38"/>
      <c r="N39" s="38"/>
      <c r="O39" s="38"/>
      <c r="P39" s="42"/>
      <c r="Q39" s="12"/>
    </row>
    <row r="40" spans="1:17" ht="45">
      <c r="A40" s="11" t="s">
        <v>60</v>
      </c>
      <c r="B40" s="34" t="s">
        <v>46</v>
      </c>
      <c r="C40" s="38"/>
      <c r="D40" s="38"/>
      <c r="E40" s="38"/>
      <c r="F40" s="38"/>
      <c r="G40" s="98"/>
      <c r="H40" s="129"/>
      <c r="I40" s="154" t="s">
        <v>619</v>
      </c>
      <c r="J40" s="154"/>
      <c r="K40" s="154"/>
      <c r="L40" s="154"/>
      <c r="M40" s="38"/>
      <c r="N40" s="38"/>
      <c r="O40" s="38"/>
      <c r="P40" s="42"/>
      <c r="Q40" s="12"/>
    </row>
    <row r="41" spans="1:16" ht="39" customHeight="1">
      <c r="A41" s="11" t="s">
        <v>110</v>
      </c>
      <c r="B41" s="34" t="s">
        <v>47</v>
      </c>
      <c r="C41" s="38"/>
      <c r="D41" s="38"/>
      <c r="E41" s="38"/>
      <c r="F41" s="38"/>
      <c r="G41" s="184">
        <v>0.05</v>
      </c>
      <c r="H41" s="129" t="s">
        <v>353</v>
      </c>
      <c r="I41" s="154" t="s">
        <v>620</v>
      </c>
      <c r="J41" s="154"/>
      <c r="K41" s="154"/>
      <c r="L41" s="154"/>
      <c r="M41" s="38"/>
      <c r="N41" s="38"/>
      <c r="O41" s="38"/>
      <c r="P41" s="38"/>
    </row>
    <row r="42" spans="1:17" ht="11.25">
      <c r="A42" s="11" t="s">
        <v>111</v>
      </c>
      <c r="B42" s="34" t="s">
        <v>48</v>
      </c>
      <c r="C42" s="38"/>
      <c r="D42" s="38"/>
      <c r="E42" s="38"/>
      <c r="F42" s="38"/>
      <c r="G42" s="184">
        <v>0.05</v>
      </c>
      <c r="H42" s="129" t="s">
        <v>353</v>
      </c>
      <c r="I42" s="320">
        <v>0.1</v>
      </c>
      <c r="J42" s="153"/>
      <c r="K42" s="153"/>
      <c r="L42" s="153"/>
      <c r="M42" s="38"/>
      <c r="N42" s="38"/>
      <c r="O42" s="38"/>
      <c r="P42" s="38"/>
      <c r="Q42" s="12"/>
    </row>
    <row r="43" spans="1:16" ht="45">
      <c r="A43" s="11" t="s">
        <v>112</v>
      </c>
      <c r="B43" s="34" t="s">
        <v>162</v>
      </c>
      <c r="C43" s="38"/>
      <c r="D43" s="38"/>
      <c r="E43" s="38"/>
      <c r="F43" s="38"/>
      <c r="G43" s="184">
        <v>0.03</v>
      </c>
      <c r="H43" s="129"/>
      <c r="I43" s="154" t="s">
        <v>626</v>
      </c>
      <c r="J43" s="153"/>
      <c r="K43" s="153"/>
      <c r="L43" s="153"/>
      <c r="M43" s="38"/>
      <c r="N43" s="38"/>
      <c r="O43" s="38"/>
      <c r="P43" s="42"/>
    </row>
    <row r="44" spans="1:17" ht="11.25">
      <c r="A44" s="11" t="s">
        <v>113</v>
      </c>
      <c r="B44" s="34" t="s">
        <v>195</v>
      </c>
      <c r="C44" s="38"/>
      <c r="D44" s="38"/>
      <c r="E44" s="38"/>
      <c r="F44" s="38"/>
      <c r="G44" s="60"/>
      <c r="H44" s="77"/>
      <c r="I44" s="327">
        <v>0.03</v>
      </c>
      <c r="J44" s="153"/>
      <c r="K44" s="153"/>
      <c r="L44" s="153"/>
      <c r="M44" s="38"/>
      <c r="N44" s="38"/>
      <c r="O44" s="38"/>
      <c r="P44" s="38"/>
      <c r="Q44" s="12"/>
    </row>
    <row r="45" spans="1:17" ht="12" thickBot="1">
      <c r="A45" s="11"/>
      <c r="B45" s="38"/>
      <c r="C45" s="38"/>
      <c r="D45" s="38"/>
      <c r="E45" s="38"/>
      <c r="F45" s="38"/>
      <c r="G45" s="38"/>
      <c r="H45" s="27"/>
      <c r="I45" s="70"/>
      <c r="J45" s="70"/>
      <c r="K45" s="70"/>
      <c r="L45" s="70"/>
      <c r="M45" s="38"/>
      <c r="N45" s="38"/>
      <c r="O45" s="38"/>
      <c r="P45" s="42"/>
      <c r="Q45" s="12"/>
    </row>
    <row r="46" spans="1:17" ht="12" thickTop="1">
      <c r="A46" s="133"/>
      <c r="B46" s="14" t="s">
        <v>50</v>
      </c>
      <c r="C46" s="14"/>
      <c r="D46" s="14"/>
      <c r="E46" s="14"/>
      <c r="F46" s="14"/>
      <c r="G46" s="14"/>
      <c r="H46" s="75"/>
      <c r="I46" s="157"/>
      <c r="J46" s="157"/>
      <c r="K46" s="157"/>
      <c r="L46" s="157"/>
      <c r="M46" s="38"/>
      <c r="N46" s="38"/>
      <c r="O46" s="38"/>
      <c r="P46" s="42"/>
      <c r="Q46" s="12"/>
    </row>
    <row r="47" spans="1:17" ht="11.25">
      <c r="A47" s="20"/>
      <c r="B47" s="16"/>
      <c r="C47" s="16"/>
      <c r="D47" s="16"/>
      <c r="E47" s="16"/>
      <c r="F47" s="16"/>
      <c r="G47" s="16"/>
      <c r="H47" s="81"/>
      <c r="I47" s="158"/>
      <c r="J47" s="158"/>
      <c r="K47" s="158"/>
      <c r="L47" s="158"/>
      <c r="P47" s="12"/>
      <c r="Q47" s="12"/>
    </row>
    <row r="48" spans="1:17" ht="12">
      <c r="A48" s="11">
        <v>6</v>
      </c>
      <c r="B48" s="7" t="s">
        <v>90</v>
      </c>
      <c r="C48" s="7"/>
      <c r="D48" s="7"/>
      <c r="E48" s="7"/>
      <c r="F48" s="7"/>
      <c r="G48" s="7"/>
      <c r="H48" s="80"/>
      <c r="I48" s="156"/>
      <c r="J48" s="156"/>
      <c r="K48" s="154"/>
      <c r="L48" s="154"/>
      <c r="P48" s="12"/>
      <c r="Q48" s="12"/>
    </row>
    <row r="49" spans="1:16" ht="36">
      <c r="A49" s="11"/>
      <c r="B49" s="1" t="s">
        <v>91</v>
      </c>
      <c r="H49" s="27"/>
      <c r="I49" s="70"/>
      <c r="J49" s="147"/>
      <c r="K49" s="147" t="s">
        <v>636</v>
      </c>
      <c r="L49" s="147" t="s">
        <v>636</v>
      </c>
      <c r="P49" s="12"/>
    </row>
    <row r="50" spans="1:17" ht="36">
      <c r="A50" s="11"/>
      <c r="B50" s="1" t="s">
        <v>92</v>
      </c>
      <c r="H50" s="27"/>
      <c r="I50" s="70"/>
      <c r="J50" s="70"/>
      <c r="K50" s="147" t="s">
        <v>636</v>
      </c>
      <c r="L50" s="147" t="s">
        <v>636</v>
      </c>
      <c r="Q50" s="12"/>
    </row>
    <row r="51" spans="1:17" ht="36">
      <c r="A51" s="11"/>
      <c r="B51" s="1" t="s">
        <v>93</v>
      </c>
      <c r="H51" s="27"/>
      <c r="I51" s="70"/>
      <c r="J51" s="70"/>
      <c r="K51" s="147" t="s">
        <v>636</v>
      </c>
      <c r="L51" s="147" t="s">
        <v>636</v>
      </c>
      <c r="P51" s="12"/>
      <c r="Q51" s="12"/>
    </row>
    <row r="52" spans="1:16" ht="36">
      <c r="A52" s="11"/>
      <c r="B52" s="1" t="s">
        <v>94</v>
      </c>
      <c r="H52" s="27"/>
      <c r="I52" s="70"/>
      <c r="J52" s="70"/>
      <c r="K52" s="147" t="s">
        <v>636</v>
      </c>
      <c r="L52" s="147" t="s">
        <v>636</v>
      </c>
      <c r="P52" s="12"/>
    </row>
    <row r="53" spans="1:12" ht="12" thickBot="1">
      <c r="A53" s="11"/>
      <c r="B53" s="38"/>
      <c r="C53" s="38"/>
      <c r="D53" s="38"/>
      <c r="E53" s="38"/>
      <c r="F53" s="38"/>
      <c r="G53" s="38"/>
      <c r="H53" s="76"/>
      <c r="I53" s="70"/>
      <c r="J53" s="70"/>
      <c r="K53" s="70"/>
      <c r="L53" s="70"/>
    </row>
    <row r="54" spans="1:17" ht="12" thickTop="1">
      <c r="A54" s="46" t="s">
        <v>114</v>
      </c>
      <c r="B54" s="14"/>
      <c r="C54" s="14"/>
      <c r="D54" s="14"/>
      <c r="E54" s="14"/>
      <c r="F54" s="14"/>
      <c r="G54" s="14"/>
      <c r="H54" s="78"/>
      <c r="I54" s="157"/>
      <c r="J54" s="157"/>
      <c r="K54" s="157"/>
      <c r="L54" s="157"/>
      <c r="Q54" s="12"/>
    </row>
    <row r="55" spans="1:17" ht="11.25">
      <c r="A55" s="24"/>
      <c r="P55" s="12"/>
      <c r="Q55" s="12"/>
    </row>
    <row r="56" spans="1:17" ht="12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P56" s="12"/>
      <c r="Q56" s="12"/>
    </row>
    <row r="57" spans="1:17" ht="11.25">
      <c r="A57" s="47"/>
      <c r="B57" s="38"/>
      <c r="C57" s="38"/>
      <c r="D57" s="38"/>
      <c r="E57" s="38"/>
      <c r="F57" s="38"/>
      <c r="G57" s="38"/>
      <c r="H57" s="38"/>
      <c r="P57" s="12"/>
      <c r="Q57" s="12"/>
    </row>
    <row r="58" spans="1:17" ht="11.25">
      <c r="A58" s="47"/>
      <c r="B58" s="38"/>
      <c r="C58" s="38"/>
      <c r="D58" s="38"/>
      <c r="E58" s="38"/>
      <c r="F58" s="38"/>
      <c r="G58" s="38"/>
      <c r="H58" s="38"/>
      <c r="P58" s="12"/>
      <c r="Q58" s="12"/>
    </row>
    <row r="59" spans="1:16" ht="11.25">
      <c r="A59" s="47"/>
      <c r="B59" s="38"/>
      <c r="C59" s="38"/>
      <c r="D59" s="38"/>
      <c r="E59" s="38"/>
      <c r="F59" s="38"/>
      <c r="G59" s="38"/>
      <c r="H59" s="38"/>
      <c r="P59" s="12"/>
    </row>
    <row r="60" spans="1:17" ht="11.25">
      <c r="A60" s="47"/>
      <c r="B60" s="38"/>
      <c r="C60" s="38"/>
      <c r="D60" s="38"/>
      <c r="E60" s="38"/>
      <c r="F60" s="38"/>
      <c r="G60" s="38"/>
      <c r="H60" s="38"/>
      <c r="Q60" s="12"/>
    </row>
    <row r="61" spans="1:17" ht="11.25">
      <c r="A61" s="47"/>
      <c r="B61" s="38"/>
      <c r="C61" s="38"/>
      <c r="D61" s="38"/>
      <c r="E61" s="38"/>
      <c r="F61" s="38"/>
      <c r="G61" s="38"/>
      <c r="H61" s="38"/>
      <c r="P61" s="12"/>
      <c r="Q61" s="12"/>
    </row>
    <row r="62" spans="1:17" ht="11.25">
      <c r="A62" s="47"/>
      <c r="B62" s="38"/>
      <c r="C62" s="38"/>
      <c r="D62" s="38"/>
      <c r="E62" s="38"/>
      <c r="F62" s="38"/>
      <c r="G62" s="38"/>
      <c r="H62" s="38"/>
      <c r="P62" s="12"/>
      <c r="Q62" s="12"/>
    </row>
    <row r="63" spans="1:17" ht="11.25">
      <c r="A63" s="24"/>
      <c r="P63" s="12"/>
      <c r="Q63" s="12"/>
    </row>
    <row r="64" spans="1:17" ht="11.25">
      <c r="A64" s="24"/>
      <c r="P64" s="12"/>
      <c r="Q64" s="12"/>
    </row>
    <row r="65" ht="11.25">
      <c r="A65" s="24"/>
    </row>
    <row r="66" ht="11.25">
      <c r="A66" s="24"/>
    </row>
    <row r="67" spans="1:17" ht="11.25">
      <c r="A67" s="24"/>
      <c r="P67" s="12"/>
      <c r="Q67" s="12"/>
    </row>
    <row r="68" spans="1:17" ht="11.25">
      <c r="A68" s="24"/>
      <c r="P68" s="12"/>
      <c r="Q68" s="12"/>
    </row>
    <row r="69" spans="1:17" ht="12">
      <c r="A69" s="24"/>
      <c r="B69" s="7"/>
      <c r="P69" s="12"/>
      <c r="Q69" s="12"/>
    </row>
    <row r="70" spans="1:17" ht="11.25">
      <c r="A70" s="24"/>
      <c r="P70" s="12"/>
      <c r="Q70" s="12"/>
    </row>
    <row r="71" spans="1:17" ht="12">
      <c r="A71" s="24"/>
      <c r="B71" s="7"/>
      <c r="P71" s="12"/>
      <c r="Q71" s="12"/>
    </row>
    <row r="72" spans="1:17" ht="11.25">
      <c r="A72" s="24"/>
      <c r="P72" s="12"/>
      <c r="Q72" s="12"/>
    </row>
    <row r="73" spans="1:17" ht="11.25">
      <c r="A73" s="24"/>
      <c r="P73" s="12"/>
      <c r="Q73" s="12"/>
    </row>
    <row r="74" ht="11.25">
      <c r="A74" s="24"/>
    </row>
    <row r="75" ht="11.25">
      <c r="A75" s="24"/>
    </row>
    <row r="76" spans="1:17" ht="11.25">
      <c r="A76" s="24"/>
      <c r="P76" s="12"/>
      <c r="Q76" s="12"/>
    </row>
    <row r="77" spans="1:17" ht="11.25">
      <c r="A77" s="24"/>
      <c r="P77" s="12"/>
      <c r="Q77" s="12"/>
    </row>
    <row r="78" spans="1:17" ht="11.25">
      <c r="A78" s="24"/>
      <c r="P78" s="12"/>
      <c r="Q78" s="12"/>
    </row>
    <row r="79" spans="1:17" ht="11.25">
      <c r="A79" s="24"/>
      <c r="P79" s="12"/>
      <c r="Q79" s="12"/>
    </row>
    <row r="80" spans="1:17" ht="11.25">
      <c r="A80" s="24"/>
      <c r="P80" s="12"/>
      <c r="Q80" s="12"/>
    </row>
    <row r="81" spans="1:17" ht="11.25">
      <c r="A81" s="24"/>
      <c r="P81" s="12"/>
      <c r="Q81" s="12"/>
    </row>
    <row r="82" spans="1:17" ht="11.25">
      <c r="A82" s="24"/>
      <c r="P82" s="17"/>
      <c r="Q82" s="17"/>
    </row>
    <row r="83" spans="1:17" ht="11.25">
      <c r="A83" s="24"/>
      <c r="P83" s="17"/>
      <c r="Q83" s="17"/>
    </row>
    <row r="84" spans="1:17" ht="11.25">
      <c r="A84" s="24"/>
      <c r="P84" s="17"/>
      <c r="Q84" s="17"/>
    </row>
    <row r="85" spans="1:17" ht="11.25">
      <c r="A85" s="24"/>
      <c r="P85" s="17"/>
      <c r="Q85" s="17"/>
    </row>
    <row r="86" spans="1:17" ht="11.25">
      <c r="A86" s="24"/>
      <c r="P86" s="17"/>
      <c r="Q86" s="17"/>
    </row>
    <row r="87" spans="1:17" ht="11.25">
      <c r="A87" s="24"/>
      <c r="P87" s="17"/>
      <c r="Q87" s="17"/>
    </row>
    <row r="88" spans="1:17" ht="11.25">
      <c r="A88" s="24"/>
      <c r="P88" s="17"/>
      <c r="Q88" s="17"/>
    </row>
    <row r="89" spans="1:17" ht="11.25">
      <c r="A89" s="24"/>
      <c r="P89" s="17"/>
      <c r="Q89" s="17"/>
    </row>
    <row r="90" spans="1:17" ht="11.25">
      <c r="A90" s="24"/>
      <c r="P90" s="17"/>
      <c r="Q90" s="17"/>
    </row>
    <row r="91" spans="1:17" ht="11.25">
      <c r="A91" s="24"/>
      <c r="P91" s="17"/>
      <c r="Q91" s="17"/>
    </row>
    <row r="92" spans="1:17" ht="11.25">
      <c r="A92" s="24"/>
      <c r="P92" s="17"/>
      <c r="Q92" s="17"/>
    </row>
    <row r="93" spans="1:17" ht="11.25">
      <c r="A93" s="24"/>
      <c r="P93" s="17"/>
      <c r="Q93" s="17"/>
    </row>
    <row r="94" spans="1:17" ht="11.25">
      <c r="A94" s="24"/>
      <c r="P94" s="17"/>
      <c r="Q94" s="17"/>
    </row>
    <row r="95" ht="11.25">
      <c r="A95" s="24"/>
    </row>
    <row r="96" spans="1:17" ht="12">
      <c r="A96" s="24"/>
      <c r="B96" s="7"/>
      <c r="P96" s="17"/>
      <c r="Q96" s="17"/>
    </row>
    <row r="97" spans="1:17" ht="12">
      <c r="A97" s="24"/>
      <c r="B97" s="21"/>
      <c r="P97" s="17"/>
      <c r="Q97" s="17"/>
    </row>
    <row r="98" spans="1:17" ht="11.25">
      <c r="A98" s="24"/>
      <c r="P98" s="17"/>
      <c r="Q98" s="17"/>
    </row>
    <row r="99" spans="1:17" ht="11.25">
      <c r="A99" s="24"/>
      <c r="P99" s="17"/>
      <c r="Q99" s="17"/>
    </row>
    <row r="100" spans="1:17" ht="11.25">
      <c r="A100" s="24"/>
      <c r="P100" s="17"/>
      <c r="Q100" s="17"/>
    </row>
    <row r="101" spans="1:17" ht="11.25">
      <c r="A101" s="24"/>
      <c r="P101" s="17"/>
      <c r="Q101" s="17"/>
    </row>
    <row r="102" spans="1:17" ht="11.25">
      <c r="A102" s="24"/>
      <c r="P102" s="25"/>
      <c r="Q102" s="17"/>
    </row>
    <row r="103" spans="1:17" ht="11.25">
      <c r="A103" s="24"/>
      <c r="P103" s="17"/>
      <c r="Q103" s="17"/>
    </row>
    <row r="104" spans="1:17" ht="11.25">
      <c r="A104" s="24"/>
      <c r="P104" s="17"/>
      <c r="Q104" s="17"/>
    </row>
    <row r="105" ht="11.25">
      <c r="A105" s="24"/>
    </row>
    <row r="106" ht="11.25">
      <c r="A106" s="24"/>
    </row>
    <row r="107" spans="1:17" ht="11.25">
      <c r="A107" s="24"/>
      <c r="P107" s="17"/>
      <c r="Q107" s="17"/>
    </row>
    <row r="108" spans="1:17" ht="11.25">
      <c r="A108" s="24"/>
      <c r="P108" s="17"/>
      <c r="Q108" s="17"/>
    </row>
    <row r="109" spans="1:17" ht="11.25">
      <c r="A109" s="24"/>
      <c r="P109" s="17"/>
      <c r="Q109" s="17"/>
    </row>
    <row r="110" spans="1:17" ht="11.25">
      <c r="A110" s="24"/>
      <c r="P110" s="12"/>
      <c r="Q110" s="12"/>
    </row>
    <row r="111" spans="1:17" ht="11.25">
      <c r="A111" s="24"/>
      <c r="P111" s="12"/>
      <c r="Q111" s="12"/>
    </row>
    <row r="112" spans="1:17" ht="11.25">
      <c r="A112" s="24"/>
      <c r="P112" s="12"/>
      <c r="Q112" s="12"/>
    </row>
    <row r="113" spans="1:17" ht="11.25">
      <c r="A113" s="24"/>
      <c r="P113" s="12"/>
      <c r="Q113" s="12"/>
    </row>
    <row r="114" spans="1:17" ht="11.25">
      <c r="A114" s="24"/>
      <c r="P114" s="12"/>
      <c r="Q114" s="12"/>
    </row>
    <row r="115" spans="1:2" ht="12">
      <c r="A115" s="24"/>
      <c r="B115" s="7"/>
    </row>
    <row r="116" spans="1:17" ht="11.25">
      <c r="A116" s="24"/>
      <c r="P116" s="12"/>
      <c r="Q116" s="12"/>
    </row>
    <row r="117" spans="1:16" ht="11.25">
      <c r="A117" s="24"/>
      <c r="P117" s="12"/>
    </row>
    <row r="118" ht="11.25">
      <c r="A118" s="24"/>
    </row>
    <row r="119" ht="11.25">
      <c r="A119" s="24"/>
    </row>
    <row r="120" ht="11.25">
      <c r="A120" s="24"/>
    </row>
    <row r="121" ht="11.25">
      <c r="A121" s="24"/>
    </row>
    <row r="122" ht="11.25">
      <c r="A122" s="24"/>
    </row>
    <row r="123" ht="11.25">
      <c r="A123" s="24"/>
    </row>
    <row r="124" spans="1:2" ht="12">
      <c r="A124" s="24"/>
      <c r="B124" s="7"/>
    </row>
    <row r="125" ht="11.25">
      <c r="A125" s="24"/>
    </row>
    <row r="126" spans="1:2" ht="12">
      <c r="A126" s="24"/>
      <c r="B126" s="21"/>
    </row>
    <row r="127" ht="11.25">
      <c r="A127" s="24"/>
    </row>
    <row r="128" ht="11.25">
      <c r="A128" s="24"/>
    </row>
    <row r="129" ht="11.25">
      <c r="A129" s="24"/>
    </row>
    <row r="130" ht="11.25">
      <c r="A130" s="24"/>
    </row>
    <row r="131" ht="11.25">
      <c r="A131" s="24"/>
    </row>
    <row r="132" ht="11.25">
      <c r="A132" s="24"/>
    </row>
    <row r="133" ht="11.25">
      <c r="A133" s="24"/>
    </row>
    <row r="134" ht="11.25">
      <c r="A134" s="24"/>
    </row>
    <row r="137" spans="1:2" ht="12">
      <c r="A137" s="24"/>
      <c r="B137" s="7"/>
    </row>
    <row r="138" ht="11.25">
      <c r="A138" s="24"/>
    </row>
    <row r="139" ht="11.25">
      <c r="A139" s="24"/>
    </row>
    <row r="140" ht="11.25">
      <c r="A140" s="24"/>
    </row>
    <row r="143" spans="1:2" ht="12">
      <c r="A143" s="24"/>
      <c r="B143" s="7"/>
    </row>
    <row r="144" spans="1:2" ht="12">
      <c r="A144" s="24"/>
      <c r="B144" s="7"/>
    </row>
    <row r="145" spans="1:2" ht="12">
      <c r="A145" s="24"/>
      <c r="B145" s="7"/>
    </row>
    <row r="147" ht="12">
      <c r="B147" s="7"/>
    </row>
  </sheetData>
  <mergeCells count="7">
    <mergeCell ref="P5:P6"/>
    <mergeCell ref="C6:D6"/>
    <mergeCell ref="H5:H6"/>
    <mergeCell ref="I5:I6"/>
    <mergeCell ref="J5:J6"/>
    <mergeCell ref="K5:K6"/>
    <mergeCell ref="L5:L6"/>
  </mergeCells>
  <printOptions/>
  <pageMargins left="0.5" right="0.5" top="1" bottom="1" header="0.5" footer="0.5"/>
  <pageSetup fitToHeight="1" fitToWidth="1" horizontalDpi="1200" verticalDpi="1200" orientation="portrait" scale="52" r:id="rId1"/>
  <headerFooter alignWithMargins="0">
    <oddFooter>&amp;L&amp;"Braggadocio,Regular"CSP&amp;X2&amp;RPage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4" sqref="H24"/>
    </sheetView>
  </sheetViews>
  <sheetFormatPr defaultColWidth="9.140625" defaultRowHeight="12.75"/>
  <cols>
    <col min="1" max="1" width="15.421875" style="198" customWidth="1"/>
    <col min="2" max="3" width="11.7109375" style="198" customWidth="1"/>
    <col min="4" max="5" width="12.7109375" style="198" customWidth="1"/>
    <col min="6" max="6" width="11.7109375" style="198" bestFit="1" customWidth="1"/>
    <col min="7" max="9" width="11.7109375" style="198" customWidth="1"/>
    <col min="10" max="10" width="14.28125" style="198" customWidth="1"/>
    <col min="11" max="12" width="12.7109375" style="198" bestFit="1" customWidth="1"/>
    <col min="13" max="155" width="11.00390625" style="198" bestFit="1" customWidth="1"/>
    <col min="156" max="156" width="12.00390625" style="198" bestFit="1" customWidth="1"/>
    <col min="157" max="16384" width="8.00390625" style="198" customWidth="1"/>
  </cols>
  <sheetData>
    <row r="1" spans="1:10" ht="12">
      <c r="A1" s="195"/>
      <c r="B1" s="196" t="s">
        <v>203</v>
      </c>
      <c r="C1" s="196"/>
      <c r="D1" s="197"/>
      <c r="E1" s="197"/>
      <c r="F1" s="197"/>
      <c r="G1" s="197"/>
      <c r="H1" s="197"/>
      <c r="I1" s="197"/>
      <c r="J1" s="197"/>
    </row>
    <row r="2" spans="2:10" ht="12">
      <c r="B2" s="196" t="s">
        <v>163</v>
      </c>
      <c r="C2" s="196"/>
      <c r="D2" s="197"/>
      <c r="E2" s="197"/>
      <c r="F2" s="197"/>
      <c r="G2" s="197"/>
      <c r="H2" s="197"/>
      <c r="I2" s="197"/>
      <c r="J2" s="197"/>
    </row>
    <row r="3" spans="2:10" ht="12">
      <c r="B3" s="537" t="s">
        <v>193</v>
      </c>
      <c r="C3" s="537"/>
      <c r="D3" s="538"/>
      <c r="E3" s="538"/>
      <c r="F3" s="538"/>
      <c r="G3" s="538"/>
      <c r="H3" s="538"/>
      <c r="I3" s="538"/>
      <c r="J3" s="538"/>
    </row>
    <row r="4" spans="2:10" ht="12">
      <c r="B4" s="196"/>
      <c r="C4" s="196"/>
      <c r="D4" s="197"/>
      <c r="E4" s="197"/>
      <c r="F4" s="197"/>
      <c r="G4" s="197"/>
      <c r="H4" s="197"/>
      <c r="I4" s="197"/>
      <c r="J4" s="197"/>
    </row>
    <row r="6" spans="1:12" ht="12">
      <c r="A6" s="539" t="s">
        <v>97</v>
      </c>
      <c r="B6" s="541" t="s">
        <v>164</v>
      </c>
      <c r="C6" s="541"/>
      <c r="D6" s="541"/>
      <c r="E6" s="541"/>
      <c r="F6" s="541"/>
      <c r="G6" s="542"/>
      <c r="H6" s="542"/>
      <c r="I6" s="542"/>
      <c r="J6" s="543" t="s">
        <v>100</v>
      </c>
      <c r="K6" s="199" t="s">
        <v>165</v>
      </c>
      <c r="L6" s="200" t="s">
        <v>166</v>
      </c>
    </row>
    <row r="7" spans="1:12" ht="12">
      <c r="A7" s="540"/>
      <c r="B7" s="542" t="s">
        <v>95</v>
      </c>
      <c r="C7" s="542"/>
      <c r="D7" s="542"/>
      <c r="E7" s="542"/>
      <c r="F7" s="542"/>
      <c r="G7" s="545" t="s">
        <v>96</v>
      </c>
      <c r="H7" s="546"/>
      <c r="I7" s="547"/>
      <c r="J7" s="544"/>
      <c r="K7" s="201" t="s">
        <v>167</v>
      </c>
      <c r="L7" s="202" t="s">
        <v>168</v>
      </c>
    </row>
    <row r="8" spans="1:12" ht="36">
      <c r="A8" s="540"/>
      <c r="B8" s="209" t="s">
        <v>194</v>
      </c>
      <c r="C8" s="210" t="s">
        <v>267</v>
      </c>
      <c r="D8" s="211" t="s">
        <v>172</v>
      </c>
      <c r="E8" s="209" t="s">
        <v>32</v>
      </c>
      <c r="F8" s="209" t="s">
        <v>98</v>
      </c>
      <c r="G8" s="210" t="s">
        <v>169</v>
      </c>
      <c r="H8" s="209" t="s">
        <v>170</v>
      </c>
      <c r="I8" s="209" t="s">
        <v>171</v>
      </c>
      <c r="J8" s="544"/>
      <c r="K8" s="212">
        <v>0.03</v>
      </c>
      <c r="L8" s="213">
        <v>0.05</v>
      </c>
    </row>
    <row r="9" spans="1:12" ht="12">
      <c r="A9" s="216">
        <v>0</v>
      </c>
      <c r="B9" s="217"/>
      <c r="C9" s="217">
        <f>'Capital Cost Estimate'!$O$561/2</f>
        <v>1130181.6</v>
      </c>
      <c r="D9" s="217">
        <f>'Capital Cost Estimate'!$O$578/7</f>
        <v>1309192.2857142857</v>
      </c>
      <c r="E9" s="217"/>
      <c r="F9" s="217"/>
      <c r="G9" s="217">
        <f>'Operating Cost Estimate'!$H$61/10</f>
        <v>420000</v>
      </c>
      <c r="H9" s="217"/>
      <c r="I9" s="217">
        <f>'Operating Cost Estimate'!$H$67/30</f>
        <v>112579.6</v>
      </c>
      <c r="J9" s="218">
        <f>SUM(B9:I9)</f>
        <v>2971953.485714286</v>
      </c>
      <c r="K9" s="219">
        <f aca="true" t="shared" si="0" ref="K9:K38">($J9*((1+K$8)^A9))</f>
        <v>2971953.485714286</v>
      </c>
      <c r="L9" s="219">
        <f aca="true" t="shared" si="1" ref="L9:L38">J9*((1+K$8-L$8)^A9)</f>
        <v>2971953.485714286</v>
      </c>
    </row>
    <row r="10" spans="1:12" ht="12">
      <c r="A10" s="216">
        <f>1+A9</f>
        <v>1</v>
      </c>
      <c r="B10" s="217">
        <f>'Capital Cost Estimate'!$O$551/4</f>
        <v>508449.9</v>
      </c>
      <c r="C10" s="217">
        <f>'Capital Cost Estimate'!$O$561/2</f>
        <v>1130181.6</v>
      </c>
      <c r="D10" s="217">
        <f>'Capital Cost Estimate'!$O$578/7</f>
        <v>1309192.2857142857</v>
      </c>
      <c r="E10" s="217"/>
      <c r="F10" s="217">
        <f>'Capital Cost Estimate'!$O$584/2</f>
        <v>7507.2</v>
      </c>
      <c r="G10" s="217">
        <f>'Operating Cost Estimate'!$H$61/10</f>
        <v>420000</v>
      </c>
      <c r="H10" s="217"/>
      <c r="I10" s="217">
        <f>'Operating Cost Estimate'!$H$67/30</f>
        <v>112579.6</v>
      </c>
      <c r="J10" s="218">
        <f>SUM(B10:I10)</f>
        <v>3487910.5857142857</v>
      </c>
      <c r="K10" s="219">
        <f t="shared" si="0"/>
        <v>3592547.9032857143</v>
      </c>
      <c r="L10" s="219">
        <f t="shared" si="1"/>
        <v>3418152.374</v>
      </c>
    </row>
    <row r="11" spans="1:12" ht="12">
      <c r="A11" s="216">
        <f>1+A10</f>
        <v>2</v>
      </c>
      <c r="B11" s="217">
        <f>'Capital Cost Estimate'!$O$551/4</f>
        <v>508449.9</v>
      </c>
      <c r="C11" s="217"/>
      <c r="D11" s="217">
        <f>'Capital Cost Estimate'!$O$578/7</f>
        <v>1309192.2857142857</v>
      </c>
      <c r="E11" s="217"/>
      <c r="F11" s="217"/>
      <c r="G11" s="217">
        <f>'Operating Cost Estimate'!$H$61/10</f>
        <v>420000</v>
      </c>
      <c r="H11" s="217"/>
      <c r="I11" s="217">
        <f>'Operating Cost Estimate'!$H$67/30</f>
        <v>112579.6</v>
      </c>
      <c r="J11" s="218">
        <f aca="true" t="shared" si="2" ref="J11:J38">SUM(B11:I11)</f>
        <v>2350221.785714286</v>
      </c>
      <c r="K11" s="219">
        <f t="shared" si="0"/>
        <v>2493350.2924642856</v>
      </c>
      <c r="L11" s="219">
        <f t="shared" si="1"/>
        <v>2257153.003</v>
      </c>
    </row>
    <row r="12" spans="1:12" ht="12">
      <c r="A12" s="216">
        <v>3</v>
      </c>
      <c r="B12" s="217">
        <f>'Capital Cost Estimate'!$O$551/4</f>
        <v>508449.9</v>
      </c>
      <c r="C12" s="217"/>
      <c r="D12" s="217">
        <f>'Capital Cost Estimate'!$O$578/7</f>
        <v>1309192.2857142857</v>
      </c>
      <c r="E12" s="217"/>
      <c r="F12" s="217"/>
      <c r="G12" s="217">
        <f>'Operating Cost Estimate'!$H$61/10</f>
        <v>420000</v>
      </c>
      <c r="H12" s="217"/>
      <c r="I12" s="217">
        <f>'Operating Cost Estimate'!$H$67/30</f>
        <v>112579.6</v>
      </c>
      <c r="J12" s="218">
        <f t="shared" si="2"/>
        <v>2350221.785714286</v>
      </c>
      <c r="K12" s="219">
        <f t="shared" si="0"/>
        <v>2568150.8012382146</v>
      </c>
      <c r="L12" s="219">
        <f t="shared" si="1"/>
        <v>2212009.94294</v>
      </c>
    </row>
    <row r="13" spans="1:12" ht="12">
      <c r="A13" s="216">
        <v>4</v>
      </c>
      <c r="B13" s="217">
        <f>'Capital Cost Estimate'!$O$551/4</f>
        <v>508449.9</v>
      </c>
      <c r="C13" s="217"/>
      <c r="D13" s="217">
        <f>'Capital Cost Estimate'!$O$578/7</f>
        <v>1309192.2857142857</v>
      </c>
      <c r="E13" s="217">
        <f>'Capital Cost Estimate'!$O$583</f>
        <v>871.1999999999999</v>
      </c>
      <c r="F13" s="217"/>
      <c r="G13" s="217">
        <f>'Operating Cost Estimate'!$H$61/10</f>
        <v>420000</v>
      </c>
      <c r="H13" s="217"/>
      <c r="I13" s="217">
        <f>'Operating Cost Estimate'!$H$67/30</f>
        <v>112579.6</v>
      </c>
      <c r="J13" s="218">
        <f t="shared" si="2"/>
        <v>2351092.985714286</v>
      </c>
      <c r="K13" s="219">
        <f t="shared" si="0"/>
        <v>2646175.868550633</v>
      </c>
      <c r="L13" s="219">
        <f t="shared" si="1"/>
        <v>2168573.311222192</v>
      </c>
    </row>
    <row r="14" spans="1:12" ht="12">
      <c r="A14" s="216">
        <v>5</v>
      </c>
      <c r="C14" s="217"/>
      <c r="D14" s="217">
        <f>'Capital Cost Estimate'!$O$578/7</f>
        <v>1309192.2857142857</v>
      </c>
      <c r="E14" s="217"/>
      <c r="F14" s="217">
        <f>'Capital Cost Estimate'!$O$584/2</f>
        <v>7507.2</v>
      </c>
      <c r="G14" s="217">
        <f>'Operating Cost Estimate'!$H$61/10</f>
        <v>420000</v>
      </c>
      <c r="H14" s="217"/>
      <c r="I14" s="217">
        <f>'Operating Cost Estimate'!$H$67/30</f>
        <v>112579.6</v>
      </c>
      <c r="J14" s="218">
        <f t="shared" si="2"/>
        <v>1849279.0857142857</v>
      </c>
      <c r="K14" s="219">
        <f t="shared" si="0"/>
        <v>2143821.300213779</v>
      </c>
      <c r="L14" s="219">
        <f t="shared" si="1"/>
        <v>1671601.8246644323</v>
      </c>
    </row>
    <row r="15" spans="1:12" ht="12">
      <c r="A15" s="216">
        <v>6</v>
      </c>
      <c r="B15" s="217"/>
      <c r="C15" s="217"/>
      <c r="D15" s="217"/>
      <c r="E15" s="217"/>
      <c r="F15" s="217"/>
      <c r="G15" s="217">
        <f>'Operating Cost Estimate'!$H$61/10</f>
        <v>420000</v>
      </c>
      <c r="H15" s="217"/>
      <c r="I15" s="217">
        <f>'Operating Cost Estimate'!$H$67/30</f>
        <v>112579.6</v>
      </c>
      <c r="J15" s="218">
        <f t="shared" si="2"/>
        <v>532579.6</v>
      </c>
      <c r="K15" s="219">
        <f t="shared" si="0"/>
        <v>635927.8944644962</v>
      </c>
      <c r="L15" s="219">
        <f t="shared" si="1"/>
        <v>471781.58086359664</v>
      </c>
    </row>
    <row r="16" spans="1:12" ht="12">
      <c r="A16" s="216">
        <v>7</v>
      </c>
      <c r="B16" s="217"/>
      <c r="C16" s="217"/>
      <c r="D16" s="217"/>
      <c r="E16" s="217"/>
      <c r="F16" s="217"/>
      <c r="G16" s="217">
        <f>'Operating Cost Estimate'!$H$61/10</f>
        <v>420000</v>
      </c>
      <c r="H16" s="217"/>
      <c r="I16" s="217">
        <f>'Operating Cost Estimate'!$H$67/30</f>
        <v>112579.6</v>
      </c>
      <c r="J16" s="218">
        <f t="shared" si="2"/>
        <v>532579.6</v>
      </c>
      <c r="K16" s="219">
        <f t="shared" si="0"/>
        <v>655005.731298431</v>
      </c>
      <c r="L16" s="219">
        <f t="shared" si="1"/>
        <v>462345.9492463247</v>
      </c>
    </row>
    <row r="17" spans="1:12" ht="12">
      <c r="A17" s="216">
        <v>8</v>
      </c>
      <c r="B17" s="217"/>
      <c r="C17" s="217"/>
      <c r="D17" s="217"/>
      <c r="E17" s="217"/>
      <c r="F17" s="217"/>
      <c r="G17" s="217">
        <f>'Operating Cost Estimate'!$H$61/10</f>
        <v>420000</v>
      </c>
      <c r="H17" s="217"/>
      <c r="I17" s="217">
        <f>'Operating Cost Estimate'!$H$67/30</f>
        <v>112579.6</v>
      </c>
      <c r="J17" s="218">
        <f t="shared" si="2"/>
        <v>532579.6</v>
      </c>
      <c r="K17" s="219">
        <f t="shared" si="0"/>
        <v>674655.9032373839</v>
      </c>
      <c r="L17" s="219">
        <f t="shared" si="1"/>
        <v>453099.0302613982</v>
      </c>
    </row>
    <row r="18" spans="1:12" ht="12">
      <c r="A18" s="216">
        <v>9</v>
      </c>
      <c r="B18" s="217"/>
      <c r="C18" s="217"/>
      <c r="D18" s="217"/>
      <c r="E18" s="217"/>
      <c r="F18" s="217"/>
      <c r="G18" s="217">
        <f>'Operating Cost Estimate'!$H$61/10</f>
        <v>420000</v>
      </c>
      <c r="H18" s="217"/>
      <c r="I18" s="217">
        <f>'Operating Cost Estimate'!$H$67/30</f>
        <v>112579.6</v>
      </c>
      <c r="J18" s="218">
        <f t="shared" si="2"/>
        <v>532579.6</v>
      </c>
      <c r="K18" s="219">
        <f t="shared" si="0"/>
        <v>694895.5803345054</v>
      </c>
      <c r="L18" s="219">
        <f t="shared" si="1"/>
        <v>444037.04965617025</v>
      </c>
    </row>
    <row r="19" spans="1:12" ht="12">
      <c r="A19" s="216">
        <v>10</v>
      </c>
      <c r="B19" s="217"/>
      <c r="C19" s="217"/>
      <c r="D19" s="217">
        <f>'Capital Cost Estimate'!$O$578/7</f>
        <v>1309192.2857142857</v>
      </c>
      <c r="E19" s="217"/>
      <c r="F19" s="217"/>
      <c r="G19" s="217"/>
      <c r="H19" s="217"/>
      <c r="I19" s="217">
        <f>'Operating Cost Estimate'!$H$67/30</f>
        <v>112579.6</v>
      </c>
      <c r="J19" s="218">
        <f t="shared" si="2"/>
        <v>1421771.8857142858</v>
      </c>
      <c r="K19" s="219">
        <f t="shared" si="0"/>
        <v>1910742.5249024075</v>
      </c>
      <c r="L19" s="219">
        <f t="shared" si="1"/>
        <v>1161691.1454143715</v>
      </c>
    </row>
    <row r="20" spans="1:12" ht="12">
      <c r="A20" s="216">
        <v>11</v>
      </c>
      <c r="B20" s="217"/>
      <c r="C20" s="217"/>
      <c r="D20" s="217"/>
      <c r="E20" s="217"/>
      <c r="F20" s="217"/>
      <c r="G20" s="217"/>
      <c r="H20" s="217"/>
      <c r="I20" s="217">
        <f>'Operating Cost Estimate'!$H$67/30</f>
        <v>112579.6</v>
      </c>
      <c r="J20" s="218">
        <f t="shared" si="2"/>
        <v>112579.6</v>
      </c>
      <c r="K20" s="219">
        <f t="shared" si="0"/>
        <v>155836.4954726098</v>
      </c>
      <c r="L20" s="219">
        <f t="shared" si="1"/>
        <v>90146.01517487169</v>
      </c>
    </row>
    <row r="21" spans="1:12" ht="12">
      <c r="A21" s="216">
        <v>12</v>
      </c>
      <c r="B21" s="217"/>
      <c r="C21" s="217"/>
      <c r="D21" s="217"/>
      <c r="E21" s="217"/>
      <c r="F21" s="217"/>
      <c r="G21" s="217"/>
      <c r="H21" s="217"/>
      <c r="I21" s="217">
        <f>'Operating Cost Estimate'!$H$67/30</f>
        <v>112579.6</v>
      </c>
      <c r="J21" s="218">
        <f t="shared" si="2"/>
        <v>112579.6</v>
      </c>
      <c r="K21" s="219">
        <f t="shared" si="0"/>
        <v>160511.59033678807</v>
      </c>
      <c r="L21" s="219">
        <f t="shared" si="1"/>
        <v>88343.09487137427</v>
      </c>
    </row>
    <row r="22" spans="1:12" ht="12">
      <c r="A22" s="216">
        <v>13</v>
      </c>
      <c r="B22" s="217"/>
      <c r="C22" s="217"/>
      <c r="D22" s="217"/>
      <c r="E22" s="217"/>
      <c r="F22" s="217"/>
      <c r="G22" s="217"/>
      <c r="H22" s="217"/>
      <c r="I22" s="217">
        <f>'Operating Cost Estimate'!$H$67/30</f>
        <v>112579.6</v>
      </c>
      <c r="J22" s="218">
        <f t="shared" si="2"/>
        <v>112579.6</v>
      </c>
      <c r="K22" s="219">
        <f t="shared" si="0"/>
        <v>165326.9380468917</v>
      </c>
      <c r="L22" s="219">
        <f t="shared" si="1"/>
        <v>86576.23297394677</v>
      </c>
    </row>
    <row r="23" spans="1:12" ht="12">
      <c r="A23" s="216">
        <v>14</v>
      </c>
      <c r="B23" s="217"/>
      <c r="C23" s="217"/>
      <c r="D23" s="217"/>
      <c r="E23" s="217"/>
      <c r="F23" s="217"/>
      <c r="G23" s="217"/>
      <c r="H23" s="217"/>
      <c r="I23" s="217">
        <f>'Operating Cost Estimate'!$H$67/30</f>
        <v>112579.6</v>
      </c>
      <c r="J23" s="218">
        <f t="shared" si="2"/>
        <v>112579.6</v>
      </c>
      <c r="K23" s="219">
        <f t="shared" si="0"/>
        <v>170286.74618829845</v>
      </c>
      <c r="L23" s="219">
        <f t="shared" si="1"/>
        <v>84844.70831446783</v>
      </c>
    </row>
    <row r="24" spans="1:12" ht="12">
      <c r="A24" s="216">
        <v>15</v>
      </c>
      <c r="B24" s="217"/>
      <c r="C24" s="217"/>
      <c r="D24" s="217"/>
      <c r="E24" s="217"/>
      <c r="F24" s="217"/>
      <c r="G24" s="217"/>
      <c r="H24" s="217"/>
      <c r="I24" s="217">
        <f>'Operating Cost Estimate'!$H$67/30</f>
        <v>112579.6</v>
      </c>
      <c r="J24" s="218">
        <f t="shared" si="2"/>
        <v>112579.6</v>
      </c>
      <c r="K24" s="219">
        <f t="shared" si="0"/>
        <v>175395.34857394744</v>
      </c>
      <c r="L24" s="219">
        <f t="shared" si="1"/>
        <v>83147.81414817847</v>
      </c>
    </row>
    <row r="25" spans="1:12" ht="12">
      <c r="A25" s="216">
        <v>16</v>
      </c>
      <c r="B25" s="217"/>
      <c r="C25" s="217"/>
      <c r="D25" s="217"/>
      <c r="E25" s="217"/>
      <c r="F25" s="217"/>
      <c r="G25" s="217"/>
      <c r="H25" s="217"/>
      <c r="I25" s="217">
        <f>'Operating Cost Estimate'!$H$67/30</f>
        <v>112579.6</v>
      </c>
      <c r="J25" s="218">
        <f t="shared" si="2"/>
        <v>112579.6</v>
      </c>
      <c r="K25" s="219">
        <f t="shared" si="0"/>
        <v>180657.2090311658</v>
      </c>
      <c r="L25" s="219">
        <f t="shared" si="1"/>
        <v>81484.8578652149</v>
      </c>
    </row>
    <row r="26" spans="1:12" ht="12">
      <c r="A26" s="216">
        <v>17</v>
      </c>
      <c r="B26" s="217"/>
      <c r="C26" s="217"/>
      <c r="D26" s="217"/>
      <c r="E26" s="217"/>
      <c r="F26" s="217"/>
      <c r="G26" s="217"/>
      <c r="H26" s="217"/>
      <c r="I26" s="217">
        <f>'Operating Cost Estimate'!$H$67/30</f>
        <v>112579.6</v>
      </c>
      <c r="J26" s="218">
        <f t="shared" si="2"/>
        <v>112579.6</v>
      </c>
      <c r="K26" s="219">
        <f t="shared" si="0"/>
        <v>186076.9253021008</v>
      </c>
      <c r="L26" s="219">
        <f t="shared" si="1"/>
        <v>79855.1607079106</v>
      </c>
    </row>
    <row r="27" spans="1:12" ht="12">
      <c r="A27" s="216">
        <v>18</v>
      </c>
      <c r="B27" s="217"/>
      <c r="C27" s="217"/>
      <c r="D27" s="217"/>
      <c r="E27" s="217"/>
      <c r="F27" s="217"/>
      <c r="G27" s="217"/>
      <c r="H27" s="217"/>
      <c r="I27" s="217">
        <f>'Operating Cost Estimate'!$H$67/30</f>
        <v>112579.6</v>
      </c>
      <c r="J27" s="218">
        <f t="shared" si="2"/>
        <v>112579.6</v>
      </c>
      <c r="K27" s="219">
        <f t="shared" si="0"/>
        <v>191659.23306116383</v>
      </c>
      <c r="L27" s="219">
        <f t="shared" si="1"/>
        <v>78258.05749375239</v>
      </c>
    </row>
    <row r="28" spans="1:12" ht="12">
      <c r="A28" s="216">
        <v>19</v>
      </c>
      <c r="B28" s="217"/>
      <c r="C28" s="217"/>
      <c r="D28" s="217"/>
      <c r="E28" s="217"/>
      <c r="F28" s="217"/>
      <c r="G28" s="217"/>
      <c r="H28" s="217"/>
      <c r="I28" s="217">
        <f>'Operating Cost Estimate'!$H$67/30</f>
        <v>112579.6</v>
      </c>
      <c r="J28" s="218">
        <f t="shared" si="2"/>
        <v>112579.6</v>
      </c>
      <c r="K28" s="219">
        <f t="shared" si="0"/>
        <v>197409.01005299872</v>
      </c>
      <c r="L28" s="219">
        <f t="shared" si="1"/>
        <v>76692.89634387735</v>
      </c>
    </row>
    <row r="29" spans="1:12" ht="12">
      <c r="A29" s="216">
        <v>20</v>
      </c>
      <c r="B29" s="217"/>
      <c r="C29" s="217"/>
      <c r="D29" s="217"/>
      <c r="E29" s="217"/>
      <c r="F29" s="217"/>
      <c r="G29" s="217"/>
      <c r="H29" s="217"/>
      <c r="I29" s="217">
        <f>'Operating Cost Estimate'!$H$67/30</f>
        <v>112579.6</v>
      </c>
      <c r="J29" s="218">
        <f t="shared" si="2"/>
        <v>112579.6</v>
      </c>
      <c r="K29" s="219">
        <f t="shared" si="0"/>
        <v>203331.2803545887</v>
      </c>
      <c r="L29" s="219">
        <f t="shared" si="1"/>
        <v>75159.0384169998</v>
      </c>
    </row>
    <row r="30" spans="1:12" ht="12">
      <c r="A30" s="216">
        <v>21</v>
      </c>
      <c r="B30" s="217"/>
      <c r="C30" s="217"/>
      <c r="D30" s="217"/>
      <c r="E30" s="217"/>
      <c r="F30" s="217"/>
      <c r="G30" s="217"/>
      <c r="H30" s="217"/>
      <c r="I30" s="217">
        <f>'Operating Cost Estimate'!$H$67/30</f>
        <v>112579.6</v>
      </c>
      <c r="J30" s="218">
        <f t="shared" si="2"/>
        <v>112579.6</v>
      </c>
      <c r="K30" s="219">
        <f t="shared" si="0"/>
        <v>209431.2187652263</v>
      </c>
      <c r="L30" s="219">
        <f t="shared" si="1"/>
        <v>73655.8576486598</v>
      </c>
    </row>
    <row r="31" spans="1:12" ht="12">
      <c r="A31" s="216">
        <v>22</v>
      </c>
      <c r="B31" s="217"/>
      <c r="C31" s="217"/>
      <c r="D31" s="217"/>
      <c r="E31" s="217"/>
      <c r="F31" s="217"/>
      <c r="G31" s="217"/>
      <c r="H31" s="217"/>
      <c r="I31" s="217">
        <f>'Operating Cost Estimate'!$H$67/30</f>
        <v>112579.6</v>
      </c>
      <c r="J31" s="218">
        <f t="shared" si="2"/>
        <v>112579.6</v>
      </c>
      <c r="K31" s="219">
        <f t="shared" si="0"/>
        <v>215714.15532818314</v>
      </c>
      <c r="L31" s="219">
        <f t="shared" si="1"/>
        <v>72182.7404956866</v>
      </c>
    </row>
    <row r="32" spans="1:12" ht="12">
      <c r="A32" s="216">
        <v>23</v>
      </c>
      <c r="B32" s="217"/>
      <c r="C32" s="217"/>
      <c r="D32" s="217"/>
      <c r="E32" s="217"/>
      <c r="F32" s="217"/>
      <c r="G32" s="217"/>
      <c r="H32" s="217"/>
      <c r="I32" s="217">
        <f>'Operating Cost Estimate'!$H$67/30</f>
        <v>112579.6</v>
      </c>
      <c r="J32" s="218">
        <f t="shared" si="2"/>
        <v>112579.6</v>
      </c>
      <c r="K32" s="219">
        <f t="shared" si="0"/>
        <v>222185.57998802865</v>
      </c>
      <c r="L32" s="219">
        <f t="shared" si="1"/>
        <v>70739.08568577286</v>
      </c>
    </row>
    <row r="33" spans="1:12" ht="12">
      <c r="A33" s="216">
        <v>24</v>
      </c>
      <c r="B33" s="217"/>
      <c r="C33" s="217"/>
      <c r="D33" s="217"/>
      <c r="E33" s="217"/>
      <c r="F33" s="217"/>
      <c r="G33" s="217"/>
      <c r="H33" s="217"/>
      <c r="I33" s="217">
        <f>'Operating Cost Estimate'!$H$67/30</f>
        <v>112579.6</v>
      </c>
      <c r="J33" s="218">
        <f t="shared" si="2"/>
        <v>112579.6</v>
      </c>
      <c r="K33" s="219">
        <f t="shared" si="0"/>
        <v>228851.14738766945</v>
      </c>
      <c r="L33" s="219">
        <f t="shared" si="1"/>
        <v>69324.3039720574</v>
      </c>
    </row>
    <row r="34" spans="1:12" ht="12">
      <c r="A34" s="216">
        <v>25</v>
      </c>
      <c r="B34" s="217"/>
      <c r="C34" s="217"/>
      <c r="D34" s="217"/>
      <c r="E34" s="217"/>
      <c r="F34" s="217"/>
      <c r="G34" s="217"/>
      <c r="H34" s="217"/>
      <c r="I34" s="217">
        <f>'Operating Cost Estimate'!$H$67/30</f>
        <v>112579.6</v>
      </c>
      <c r="J34" s="218">
        <f t="shared" si="2"/>
        <v>112579.6</v>
      </c>
      <c r="K34" s="219">
        <f t="shared" si="0"/>
        <v>235716.68180929954</v>
      </c>
      <c r="L34" s="219">
        <f t="shared" si="1"/>
        <v>67937.81789261625</v>
      </c>
    </row>
    <row r="35" spans="1:12" ht="12">
      <c r="A35" s="216">
        <v>26</v>
      </c>
      <c r="B35" s="217"/>
      <c r="C35" s="217"/>
      <c r="D35" s="217"/>
      <c r="E35" s="217"/>
      <c r="F35" s="217"/>
      <c r="G35" s="217"/>
      <c r="H35" s="217"/>
      <c r="I35" s="217">
        <f>'Operating Cost Estimate'!$H$67/30</f>
        <v>112579.6</v>
      </c>
      <c r="J35" s="218">
        <f t="shared" si="2"/>
        <v>112579.6</v>
      </c>
      <c r="K35" s="219">
        <f t="shared" si="0"/>
        <v>242788.18226357858</v>
      </c>
      <c r="L35" s="219">
        <f t="shared" si="1"/>
        <v>66579.06153476393</v>
      </c>
    </row>
    <row r="36" spans="1:12" ht="12">
      <c r="A36" s="216">
        <v>27</v>
      </c>
      <c r="B36" s="217"/>
      <c r="C36" s="217"/>
      <c r="D36" s="217"/>
      <c r="E36" s="217"/>
      <c r="F36" s="217"/>
      <c r="G36" s="217"/>
      <c r="H36" s="217"/>
      <c r="I36" s="217">
        <f>'Operating Cost Estimate'!$H$67/30</f>
        <v>112579.6</v>
      </c>
      <c r="J36" s="218">
        <f t="shared" si="2"/>
        <v>112579.6</v>
      </c>
      <c r="K36" s="219">
        <f t="shared" si="0"/>
        <v>250071.8277314859</v>
      </c>
      <c r="L36" s="219">
        <f t="shared" si="1"/>
        <v>65247.48030406864</v>
      </c>
    </row>
    <row r="37" spans="1:12" ht="12">
      <c r="A37" s="216">
        <v>28</v>
      </c>
      <c r="B37" s="217"/>
      <c r="C37" s="217"/>
      <c r="D37" s="217"/>
      <c r="E37" s="217"/>
      <c r="F37" s="217"/>
      <c r="G37" s="217"/>
      <c r="H37" s="217"/>
      <c r="I37" s="217">
        <f>'Operating Cost Estimate'!$H$67/30</f>
        <v>112579.6</v>
      </c>
      <c r="J37" s="218">
        <f t="shared" si="2"/>
        <v>112579.6</v>
      </c>
      <c r="K37" s="219">
        <f t="shared" si="0"/>
        <v>257573.98256343047</v>
      </c>
      <c r="L37" s="219">
        <f t="shared" si="1"/>
        <v>63942.53069798727</v>
      </c>
    </row>
    <row r="38" spans="1:12" ht="12">
      <c r="A38" s="216">
        <v>29</v>
      </c>
      <c r="B38" s="217"/>
      <c r="C38" s="217"/>
      <c r="D38" s="217"/>
      <c r="E38" s="217"/>
      <c r="F38" s="217"/>
      <c r="G38" s="217"/>
      <c r="H38" s="217">
        <f>'Operating Cost Estimate'!$H$62</f>
        <v>600000</v>
      </c>
      <c r="I38" s="217">
        <f>'Operating Cost Estimate'!$H$67/30</f>
        <v>112579.6</v>
      </c>
      <c r="J38" s="218">
        <f t="shared" si="2"/>
        <v>712579.6</v>
      </c>
      <c r="K38" s="219">
        <f t="shared" si="0"/>
        <v>1679240.5056459599</v>
      </c>
      <c r="L38" s="219">
        <f t="shared" si="1"/>
        <v>396633.6715426622</v>
      </c>
    </row>
    <row r="39" spans="1:12" ht="12">
      <c r="A39" s="214" t="s">
        <v>99</v>
      </c>
      <c r="B39" s="215">
        <f aca="true" t="shared" si="3" ref="B39:L39">SUM(B9:B38)</f>
        <v>2033799.6</v>
      </c>
      <c r="C39" s="215">
        <f t="shared" si="3"/>
        <v>2260363.2</v>
      </c>
      <c r="D39" s="215">
        <f t="shared" si="3"/>
        <v>9164346</v>
      </c>
      <c r="E39" s="215">
        <f t="shared" si="3"/>
        <v>871.1999999999999</v>
      </c>
      <c r="F39" s="215">
        <f t="shared" si="3"/>
        <v>15014.4</v>
      </c>
      <c r="G39" s="215">
        <f t="shared" si="3"/>
        <v>4200000</v>
      </c>
      <c r="H39" s="215">
        <f t="shared" si="3"/>
        <v>600000</v>
      </c>
      <c r="I39" s="215">
        <f t="shared" si="3"/>
        <v>3377388.000000002</v>
      </c>
      <c r="J39" s="215">
        <f t="shared" si="3"/>
        <v>21651782.400000032</v>
      </c>
      <c r="K39" s="215">
        <f t="shared" si="3"/>
        <v>26315291.343607552</v>
      </c>
      <c r="L39" s="215">
        <f t="shared" si="3"/>
        <v>19463149.123067643</v>
      </c>
    </row>
    <row r="41" spans="2:12" ht="12">
      <c r="B41" s="203"/>
      <c r="C41" s="203"/>
      <c r="D41" s="203"/>
      <c r="E41" s="203"/>
      <c r="F41" s="203"/>
      <c r="G41" s="203"/>
      <c r="H41" s="203"/>
      <c r="I41" s="203"/>
      <c r="J41" s="203"/>
      <c r="L41" s="204"/>
    </row>
    <row r="42" spans="1:10" ht="12">
      <c r="A42" s="203"/>
      <c r="B42" s="203"/>
      <c r="C42" s="203"/>
      <c r="D42" s="203"/>
      <c r="E42" s="203"/>
      <c r="F42" s="203"/>
      <c r="G42" s="203"/>
      <c r="H42" s="203"/>
      <c r="I42" s="203"/>
      <c r="J42" s="203"/>
    </row>
    <row r="43" spans="1:10" ht="12">
      <c r="A43" s="203"/>
      <c r="B43" s="203"/>
      <c r="C43" s="203"/>
      <c r="D43" s="203"/>
      <c r="E43" s="203"/>
      <c r="F43" s="203"/>
      <c r="G43" s="203"/>
      <c r="H43" s="203"/>
      <c r="I43" s="203"/>
      <c r="J43" s="205"/>
    </row>
    <row r="44" spans="1:10" ht="12">
      <c r="A44" s="220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0" ht="12">
      <c r="A45" s="203"/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12">
      <c r="A46" s="203"/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0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</row>
    <row r="49" spans="1:10" ht="12">
      <c r="A49" s="203"/>
      <c r="B49" s="203"/>
      <c r="C49" s="203"/>
      <c r="D49" s="203"/>
      <c r="E49" s="203"/>
      <c r="F49" s="203"/>
      <c r="G49" s="203"/>
      <c r="H49" s="203"/>
      <c r="I49" s="203"/>
      <c r="J49" s="203"/>
    </row>
    <row r="50" spans="1:10" ht="12">
      <c r="A50" s="203"/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 ht="12">
      <c r="A51" s="203"/>
      <c r="B51" s="203"/>
      <c r="C51" s="203"/>
      <c r="D51" s="203"/>
      <c r="E51" s="203"/>
      <c r="F51" s="203"/>
      <c r="G51" s="203"/>
      <c r="H51" s="203"/>
      <c r="I51" s="203"/>
      <c r="J51" s="203"/>
    </row>
    <row r="52" spans="1:10" ht="12">
      <c r="A52" s="203"/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10" ht="12">
      <c r="A53" s="203"/>
      <c r="B53" s="203"/>
      <c r="C53" s="203"/>
      <c r="D53" s="203"/>
      <c r="E53" s="203"/>
      <c r="F53" s="203"/>
      <c r="G53" s="203"/>
      <c r="H53" s="203"/>
      <c r="I53" s="203"/>
      <c r="J53" s="203"/>
    </row>
    <row r="54" spans="1:10" ht="12">
      <c r="A54" s="203"/>
      <c r="B54" s="203"/>
      <c r="C54" s="203"/>
      <c r="D54" s="203"/>
      <c r="E54" s="203"/>
      <c r="F54" s="203"/>
      <c r="G54" s="203"/>
      <c r="H54" s="203"/>
      <c r="I54" s="203"/>
      <c r="J54" s="203"/>
    </row>
    <row r="55" spans="1:10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2">
      <c r="A56" s="203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2">
      <c r="A57" s="203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2">
      <c r="A58" s="203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2">
      <c r="A59" s="203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2">
      <c r="A60" s="203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2">
      <c r="A61" s="203"/>
      <c r="B61" s="203"/>
      <c r="C61" s="203"/>
      <c r="D61" s="203"/>
      <c r="E61" s="203"/>
      <c r="F61" s="203"/>
      <c r="G61" s="203"/>
      <c r="H61" s="203"/>
      <c r="I61" s="203"/>
      <c r="J61" s="205"/>
    </row>
    <row r="62" spans="1:10" ht="12">
      <c r="A62" s="203"/>
      <c r="B62" s="203"/>
      <c r="C62" s="203"/>
      <c r="D62" s="203"/>
      <c r="E62" s="203"/>
      <c r="F62" s="203"/>
      <c r="G62" s="203"/>
      <c r="H62" s="203"/>
      <c r="I62" s="203"/>
      <c r="J62" s="205"/>
    </row>
    <row r="63" spans="1:10" ht="12">
      <c r="A63" s="203"/>
      <c r="B63" s="203"/>
      <c r="C63" s="203"/>
      <c r="D63" s="203"/>
      <c r="E63" s="203"/>
      <c r="F63" s="203"/>
      <c r="G63" s="203"/>
      <c r="H63" s="203"/>
      <c r="I63" s="203"/>
      <c r="J63" s="205"/>
    </row>
    <row r="64" spans="1:10" ht="12">
      <c r="A64" s="203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2">
      <c r="A65" s="203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2">
      <c r="A66" s="203"/>
      <c r="B66" s="203"/>
      <c r="C66" s="203"/>
      <c r="D66" s="203"/>
      <c r="E66" s="203"/>
      <c r="F66" s="203"/>
      <c r="G66" s="203"/>
      <c r="H66" s="203"/>
      <c r="I66" s="203"/>
      <c r="J66" s="205"/>
    </row>
    <row r="67" spans="1:10" ht="12">
      <c r="A67" s="203"/>
      <c r="B67" s="203"/>
      <c r="C67" s="203"/>
      <c r="D67" s="203"/>
      <c r="E67" s="203"/>
      <c r="F67" s="203"/>
      <c r="G67" s="203"/>
      <c r="H67" s="203"/>
      <c r="I67" s="203"/>
      <c r="J67" s="205"/>
    </row>
    <row r="68" spans="1:10" ht="12">
      <c r="A68" s="203"/>
      <c r="B68" s="203"/>
      <c r="C68" s="203"/>
      <c r="D68" s="203"/>
      <c r="E68" s="203"/>
      <c r="F68" s="203"/>
      <c r="G68" s="203"/>
      <c r="H68" s="203"/>
      <c r="I68" s="203"/>
      <c r="J68" s="205"/>
    </row>
    <row r="69" spans="1:10" ht="12">
      <c r="A69" s="203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2">
      <c r="A70" s="203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2">
      <c r="A71" s="203"/>
      <c r="B71" s="203"/>
      <c r="C71" s="203"/>
      <c r="D71" s="203"/>
      <c r="E71" s="203"/>
      <c r="F71" s="203"/>
      <c r="G71" s="203"/>
      <c r="H71" s="203"/>
      <c r="I71" s="203"/>
      <c r="J71" s="205"/>
    </row>
    <row r="72" spans="1:10" ht="12">
      <c r="A72" s="203"/>
      <c r="B72" s="203"/>
      <c r="C72" s="203"/>
      <c r="D72" s="203"/>
      <c r="E72" s="203"/>
      <c r="F72" s="203"/>
      <c r="G72" s="203"/>
      <c r="H72" s="203"/>
      <c r="I72" s="203"/>
      <c r="J72" s="205"/>
    </row>
    <row r="73" spans="1:10" ht="12">
      <c r="A73" s="203"/>
      <c r="B73" s="203"/>
      <c r="C73" s="203"/>
      <c r="D73" s="203"/>
      <c r="E73" s="203"/>
      <c r="F73" s="203"/>
      <c r="G73" s="203"/>
      <c r="H73" s="203"/>
      <c r="I73" s="203"/>
      <c r="J73" s="205"/>
    </row>
    <row r="80" spans="7:9" ht="12">
      <c r="G80" s="206"/>
      <c r="H80" s="206"/>
      <c r="I80" s="206"/>
    </row>
    <row r="82" ht="4.5" customHeight="1"/>
    <row r="84" ht="4.5" customHeight="1"/>
    <row r="86" ht="4.5" customHeight="1"/>
    <row r="88" ht="4.5" customHeight="1"/>
    <row r="92" ht="4.5" customHeight="1"/>
    <row r="96" ht="4.5" customHeight="1"/>
    <row r="101" ht="12">
      <c r="F101" s="207"/>
    </row>
    <row r="102" ht="12">
      <c r="F102" s="207"/>
    </row>
    <row r="103" ht="12">
      <c r="F103" s="207"/>
    </row>
    <row r="109" ht="4.5" customHeight="1"/>
    <row r="113" ht="4.5" customHeight="1"/>
    <row r="114" spans="2:3" ht="12">
      <c r="B114" s="208"/>
      <c r="C114" s="208"/>
    </row>
  </sheetData>
  <mergeCells count="6">
    <mergeCell ref="B3:J3"/>
    <mergeCell ref="A6:A8"/>
    <mergeCell ref="B6:I6"/>
    <mergeCell ref="J6:J8"/>
    <mergeCell ref="B7:F7"/>
    <mergeCell ref="G7:I7"/>
  </mergeCells>
  <hyperlinks>
    <hyperlink ref="K9" r:id="rId1" display="=@npv(L8,K9)"/>
    <hyperlink ref="L9" r:id="rId2" display="=@npv(L8,K9)"/>
    <hyperlink ref="K10:K38" r:id="rId3" display="=@npv(L8,K9)"/>
    <hyperlink ref="L10:L38" r:id="rId4" display="=@npv(L8,K9)"/>
  </hyperlinks>
  <printOptions/>
  <pageMargins left="0.75" right="0.75" top="1" bottom="1" header="0.5" footer="0.5"/>
  <pageSetup fitToHeight="0" fitToWidth="1" horizontalDpi="1200" verticalDpi="1200" orientation="landscape" scale="81" r:id="rId5"/>
  <headerFooter alignWithMargins="0">
    <oddFooter>&amp;L&amp;"Braggadocio,Regular"CSP&amp;X2&amp;RPage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4" sqref="H24"/>
    </sheetView>
  </sheetViews>
  <sheetFormatPr defaultColWidth="9.140625" defaultRowHeight="12.75"/>
  <cols>
    <col min="1" max="1" width="15.421875" style="198" customWidth="1"/>
    <col min="2" max="3" width="11.7109375" style="198" customWidth="1"/>
    <col min="4" max="4" width="11.7109375" style="198" bestFit="1" customWidth="1"/>
    <col min="5" max="6" width="12.7109375" style="198" customWidth="1"/>
    <col min="7" max="7" width="11.7109375" style="198" bestFit="1" customWidth="1"/>
    <col min="8" max="10" width="11.7109375" style="198" customWidth="1"/>
    <col min="11" max="11" width="14.28125" style="198" customWidth="1"/>
    <col min="12" max="13" width="12.7109375" style="198" bestFit="1" customWidth="1"/>
    <col min="14" max="156" width="11.00390625" style="198" bestFit="1" customWidth="1"/>
    <col min="157" max="157" width="12.00390625" style="198" bestFit="1" customWidth="1"/>
    <col min="158" max="16384" width="8.00390625" style="198" customWidth="1"/>
  </cols>
  <sheetData>
    <row r="1" spans="1:11" ht="12">
      <c r="A1" s="195"/>
      <c r="B1" s="196" t="s">
        <v>199</v>
      </c>
      <c r="C1" s="196"/>
      <c r="D1" s="197"/>
      <c r="E1" s="197"/>
      <c r="F1" s="197"/>
      <c r="G1" s="197"/>
      <c r="H1" s="197"/>
      <c r="I1" s="197"/>
      <c r="J1" s="197"/>
      <c r="K1" s="197"/>
    </row>
    <row r="2" spans="2:11" ht="12">
      <c r="B2" s="196" t="s">
        <v>163</v>
      </c>
      <c r="C2" s="196"/>
      <c r="D2" s="197"/>
      <c r="E2" s="197"/>
      <c r="F2" s="197"/>
      <c r="G2" s="197"/>
      <c r="H2" s="197"/>
      <c r="I2" s="197"/>
      <c r="J2" s="197"/>
      <c r="K2" s="197"/>
    </row>
    <row r="3" spans="2:11" ht="12">
      <c r="B3" s="537" t="s">
        <v>193</v>
      </c>
      <c r="C3" s="537"/>
      <c r="D3" s="538"/>
      <c r="E3" s="538"/>
      <c r="F3" s="538"/>
      <c r="G3" s="538"/>
      <c r="H3" s="538"/>
      <c r="I3" s="538"/>
      <c r="J3" s="538"/>
      <c r="K3" s="538"/>
    </row>
    <row r="4" spans="2:11" ht="12">
      <c r="B4" s="196"/>
      <c r="C4" s="196"/>
      <c r="D4" s="197"/>
      <c r="E4" s="197"/>
      <c r="F4" s="197"/>
      <c r="G4" s="197"/>
      <c r="H4" s="197"/>
      <c r="I4" s="197"/>
      <c r="J4" s="197"/>
      <c r="K4" s="197"/>
    </row>
    <row r="6" spans="1:13" ht="12">
      <c r="A6" s="539" t="s">
        <v>97</v>
      </c>
      <c r="B6" s="541" t="s">
        <v>164</v>
      </c>
      <c r="C6" s="541"/>
      <c r="D6" s="541"/>
      <c r="E6" s="541"/>
      <c r="F6" s="541"/>
      <c r="G6" s="542"/>
      <c r="H6" s="542"/>
      <c r="I6" s="542"/>
      <c r="J6" s="543" t="s">
        <v>100</v>
      </c>
      <c r="K6" s="199" t="s">
        <v>165</v>
      </c>
      <c r="L6" s="200" t="s">
        <v>166</v>
      </c>
      <c r="M6" s="465"/>
    </row>
    <row r="7" spans="1:13" ht="12">
      <c r="A7" s="540"/>
      <c r="B7" s="542" t="s">
        <v>95</v>
      </c>
      <c r="C7" s="542"/>
      <c r="D7" s="542"/>
      <c r="E7" s="542"/>
      <c r="F7" s="542"/>
      <c r="G7" s="545" t="s">
        <v>96</v>
      </c>
      <c r="H7" s="546"/>
      <c r="I7" s="547"/>
      <c r="J7" s="544"/>
      <c r="K7" s="201" t="s">
        <v>167</v>
      </c>
      <c r="L7" s="202" t="s">
        <v>168</v>
      </c>
      <c r="M7" s="465"/>
    </row>
    <row r="8" spans="1:13" ht="36">
      <c r="A8" s="540"/>
      <c r="B8" s="209" t="s">
        <v>194</v>
      </c>
      <c r="C8" s="210" t="s">
        <v>267</v>
      </c>
      <c r="D8" s="211" t="s">
        <v>172</v>
      </c>
      <c r="E8" s="209" t="s">
        <v>32</v>
      </c>
      <c r="F8" s="209" t="s">
        <v>98</v>
      </c>
      <c r="G8" s="210" t="s">
        <v>169</v>
      </c>
      <c r="H8" s="209" t="s">
        <v>170</v>
      </c>
      <c r="I8" s="209" t="s">
        <v>171</v>
      </c>
      <c r="J8" s="544"/>
      <c r="K8" s="212">
        <v>0.03</v>
      </c>
      <c r="L8" s="213">
        <v>0.05</v>
      </c>
      <c r="M8" s="466"/>
    </row>
    <row r="9" spans="1:13" ht="12">
      <c r="A9" s="216">
        <v>0</v>
      </c>
      <c r="B9" s="217"/>
      <c r="C9" s="217">
        <f>'Capital Cost Estimate'!$S$561/2</f>
        <v>1450399.72</v>
      </c>
      <c r="D9" s="217">
        <f>'Capital Cost Estimate'!$S$578/7</f>
        <v>1680130.0999999999</v>
      </c>
      <c r="E9" s="217"/>
      <c r="F9" s="217"/>
      <c r="G9" s="217">
        <f>'Operating Cost Estimate'!$J$61/10</f>
        <v>539000</v>
      </c>
      <c r="H9" s="217"/>
      <c r="I9" s="217">
        <f>'Operating Cost Estimate'!$J$67/30</f>
        <v>144477.15333333332</v>
      </c>
      <c r="J9" s="218">
        <f>SUM(B9:I9)</f>
        <v>3814006.973333333</v>
      </c>
      <c r="K9" s="219">
        <f aca="true" t="shared" si="0" ref="K9:K38">($J9*((1+K$8)^A9))</f>
        <v>3814006.973333333</v>
      </c>
      <c r="L9" s="219">
        <f aca="true" t="shared" si="1" ref="L9:L38">J9*((1+K$8-L$8)^A9)</f>
        <v>3814006.973333333</v>
      </c>
      <c r="M9" s="468"/>
    </row>
    <row r="10" spans="1:13" ht="12">
      <c r="A10" s="216">
        <f>1+A9</f>
        <v>1</v>
      </c>
      <c r="B10" s="217">
        <f>'Capital Cost Estimate'!$S$551/4</f>
        <v>652510.7050000002</v>
      </c>
      <c r="C10" s="217">
        <f>'Capital Cost Estimate'!$S$561/2</f>
        <v>1450399.72</v>
      </c>
      <c r="D10" s="217">
        <f>'Capital Cost Estimate'!$S$578/7</f>
        <v>1680130.0999999999</v>
      </c>
      <c r="E10" s="217"/>
      <c r="F10" s="217">
        <f>'Capital Cost Estimate'!$S$584/2</f>
        <v>9634.24</v>
      </c>
      <c r="G10" s="217">
        <f>'Operating Cost Estimate'!$J$61/10</f>
        <v>539000</v>
      </c>
      <c r="H10" s="217"/>
      <c r="I10" s="217">
        <f>'Operating Cost Estimate'!$J$67/30</f>
        <v>144477.15333333332</v>
      </c>
      <c r="J10" s="218">
        <f>SUM(B10:I10)</f>
        <v>4476151.918333334</v>
      </c>
      <c r="K10" s="219">
        <f t="shared" si="0"/>
        <v>4610436.475883334</v>
      </c>
      <c r="L10" s="219">
        <f t="shared" si="1"/>
        <v>4386628.879966667</v>
      </c>
      <c r="M10" s="468"/>
    </row>
    <row r="11" spans="1:13" ht="12">
      <c r="A11" s="216">
        <f>1+A10</f>
        <v>2</v>
      </c>
      <c r="B11" s="217">
        <f>'Capital Cost Estimate'!$S$551/4</f>
        <v>652510.7050000002</v>
      </c>
      <c r="C11" s="217"/>
      <c r="D11" s="217">
        <f>'Capital Cost Estimate'!$S$578/7</f>
        <v>1680130.0999999999</v>
      </c>
      <c r="E11" s="217"/>
      <c r="F11" s="217"/>
      <c r="G11" s="217">
        <f>'Operating Cost Estimate'!$J$61/10</f>
        <v>539000</v>
      </c>
      <c r="H11" s="217"/>
      <c r="I11" s="217">
        <f>'Operating Cost Estimate'!$J$67/30</f>
        <v>144477.15333333332</v>
      </c>
      <c r="J11" s="218">
        <f aca="true" t="shared" si="2" ref="J11:J38">SUM(B11:I11)</f>
        <v>3016117.9583333335</v>
      </c>
      <c r="K11" s="219">
        <f t="shared" si="0"/>
        <v>3199799.541995833</v>
      </c>
      <c r="L11" s="219">
        <f t="shared" si="1"/>
        <v>2896679.687183333</v>
      </c>
      <c r="M11" s="468"/>
    </row>
    <row r="12" spans="1:13" ht="12">
      <c r="A12" s="216">
        <v>3</v>
      </c>
      <c r="B12" s="217">
        <f>'Capital Cost Estimate'!$S$551/4</f>
        <v>652510.7050000002</v>
      </c>
      <c r="C12" s="217"/>
      <c r="D12" s="217">
        <f>'Capital Cost Estimate'!$S$578/7</f>
        <v>1680130.0999999999</v>
      </c>
      <c r="E12" s="217"/>
      <c r="F12" s="217"/>
      <c r="G12" s="217">
        <f>'Operating Cost Estimate'!$J$61/10</f>
        <v>539000</v>
      </c>
      <c r="H12" s="217"/>
      <c r="I12" s="217">
        <f>'Operating Cost Estimate'!$J$67/30</f>
        <v>144477.15333333332</v>
      </c>
      <c r="J12" s="218">
        <f t="shared" si="2"/>
        <v>3016117.9583333335</v>
      </c>
      <c r="K12" s="219">
        <f t="shared" si="0"/>
        <v>3295793.5282557085</v>
      </c>
      <c r="L12" s="219">
        <f t="shared" si="1"/>
        <v>2838746.0934396666</v>
      </c>
      <c r="M12" s="468"/>
    </row>
    <row r="13" spans="1:13" ht="12">
      <c r="A13" s="216">
        <v>4</v>
      </c>
      <c r="B13" s="217">
        <f>'Capital Cost Estimate'!$S$551/4</f>
        <v>652510.7050000002</v>
      </c>
      <c r="C13" s="217"/>
      <c r="D13" s="217">
        <f>'Capital Cost Estimate'!$S$578/7</f>
        <v>1680130.0999999999</v>
      </c>
      <c r="E13" s="217">
        <f>'Capital Cost Estimate'!$S$583</f>
        <v>1118.04</v>
      </c>
      <c r="F13" s="217"/>
      <c r="G13" s="217">
        <f>'Operating Cost Estimate'!$J$61/10</f>
        <v>539000</v>
      </c>
      <c r="H13" s="217"/>
      <c r="I13" s="217">
        <f>'Operating Cost Estimate'!$J$67/30</f>
        <v>144477.15333333332</v>
      </c>
      <c r="J13" s="218">
        <f t="shared" si="2"/>
        <v>3017235.9983333335</v>
      </c>
      <c r="K13" s="219">
        <f t="shared" si="0"/>
        <v>3395925.697973312</v>
      </c>
      <c r="L13" s="219">
        <f t="shared" si="1"/>
        <v>2783002.4160684794</v>
      </c>
      <c r="M13" s="468"/>
    </row>
    <row r="14" spans="1:13" ht="12">
      <c r="A14" s="216">
        <v>5</v>
      </c>
      <c r="C14" s="217"/>
      <c r="D14" s="217">
        <f>'Capital Cost Estimate'!$S$578/7</f>
        <v>1680130.0999999999</v>
      </c>
      <c r="E14" s="217"/>
      <c r="F14" s="217">
        <f>'Capital Cost Estimate'!$S$584/2</f>
        <v>9634.24</v>
      </c>
      <c r="G14" s="217">
        <f>'Operating Cost Estimate'!$J$61/10</f>
        <v>539000</v>
      </c>
      <c r="H14" s="217"/>
      <c r="I14" s="217">
        <f>'Operating Cost Estimate'!$J$67/30</f>
        <v>144477.15333333332</v>
      </c>
      <c r="J14" s="218">
        <f t="shared" si="2"/>
        <v>2373241.493333333</v>
      </c>
      <c r="K14" s="219">
        <f t="shared" si="0"/>
        <v>2751237.335274349</v>
      </c>
      <c r="L14" s="219">
        <f t="shared" si="1"/>
        <v>2145222.341652688</v>
      </c>
      <c r="M14" s="468"/>
    </row>
    <row r="15" spans="1:13" ht="12">
      <c r="A15" s="216">
        <v>6</v>
      </c>
      <c r="B15" s="217"/>
      <c r="C15" s="217"/>
      <c r="D15" s="217"/>
      <c r="E15" s="217"/>
      <c r="F15" s="217"/>
      <c r="G15" s="217">
        <f>'Operating Cost Estimate'!$J$61/10</f>
        <v>539000</v>
      </c>
      <c r="H15" s="217"/>
      <c r="I15" s="217">
        <f>'Operating Cost Estimate'!$J$67/30</f>
        <v>144477.15333333332</v>
      </c>
      <c r="J15" s="218">
        <f t="shared" si="2"/>
        <v>683477.1533333333</v>
      </c>
      <c r="K15" s="219">
        <f t="shared" si="0"/>
        <v>816107.4645627701</v>
      </c>
      <c r="L15" s="219">
        <f t="shared" si="1"/>
        <v>605453.028774949</v>
      </c>
      <c r="M15" s="468"/>
    </row>
    <row r="16" spans="1:13" ht="12">
      <c r="A16" s="216">
        <v>7</v>
      </c>
      <c r="B16" s="217"/>
      <c r="C16" s="217"/>
      <c r="D16" s="217"/>
      <c r="E16" s="217"/>
      <c r="F16" s="217"/>
      <c r="G16" s="217">
        <f>'Operating Cost Estimate'!$J$61/10</f>
        <v>539000</v>
      </c>
      <c r="H16" s="217"/>
      <c r="I16" s="217">
        <f>'Operating Cost Estimate'!$J$67/30</f>
        <v>144477.15333333332</v>
      </c>
      <c r="J16" s="218">
        <f t="shared" si="2"/>
        <v>683477.1533333333</v>
      </c>
      <c r="K16" s="219">
        <f t="shared" si="0"/>
        <v>840590.6884996532</v>
      </c>
      <c r="L16" s="219">
        <f t="shared" si="1"/>
        <v>593343.96819945</v>
      </c>
      <c r="M16" s="468"/>
    </row>
    <row r="17" spans="1:13" ht="12">
      <c r="A17" s="216">
        <v>8</v>
      </c>
      <c r="B17" s="217"/>
      <c r="C17" s="217"/>
      <c r="D17" s="217"/>
      <c r="E17" s="217"/>
      <c r="F17" s="217"/>
      <c r="G17" s="217">
        <f>'Operating Cost Estimate'!$J$61/10</f>
        <v>539000</v>
      </c>
      <c r="H17" s="217"/>
      <c r="I17" s="217">
        <f>'Operating Cost Estimate'!$J$67/30</f>
        <v>144477.15333333332</v>
      </c>
      <c r="J17" s="218">
        <f t="shared" si="2"/>
        <v>683477.1533333333</v>
      </c>
      <c r="K17" s="219">
        <f t="shared" si="0"/>
        <v>865808.4091546427</v>
      </c>
      <c r="L17" s="219">
        <f t="shared" si="1"/>
        <v>581477.0888354611</v>
      </c>
      <c r="M17" s="468"/>
    </row>
    <row r="18" spans="1:13" ht="12">
      <c r="A18" s="216">
        <v>9</v>
      </c>
      <c r="B18" s="217"/>
      <c r="C18" s="217"/>
      <c r="D18" s="217"/>
      <c r="E18" s="217"/>
      <c r="F18" s="217"/>
      <c r="G18" s="217">
        <f>'Operating Cost Estimate'!$J$61/10</f>
        <v>539000</v>
      </c>
      <c r="H18" s="217"/>
      <c r="I18" s="217">
        <f>'Operating Cost Estimate'!$J$67/30</f>
        <v>144477.15333333332</v>
      </c>
      <c r="J18" s="218">
        <f t="shared" si="2"/>
        <v>683477.1533333333</v>
      </c>
      <c r="K18" s="219">
        <f t="shared" si="0"/>
        <v>891782.661429282</v>
      </c>
      <c r="L18" s="219">
        <f t="shared" si="1"/>
        <v>569847.5470587518</v>
      </c>
      <c r="M18" s="468"/>
    </row>
    <row r="19" spans="1:13" ht="12">
      <c r="A19" s="216">
        <v>10</v>
      </c>
      <c r="B19" s="217"/>
      <c r="C19" s="217"/>
      <c r="D19" s="217">
        <f>'Capital Cost Estimate'!$S$578/7</f>
        <v>1680130.0999999999</v>
      </c>
      <c r="E19" s="217"/>
      <c r="F19" s="217"/>
      <c r="G19" s="217"/>
      <c r="H19" s="217"/>
      <c r="I19" s="217">
        <f>'Operating Cost Estimate'!$J$67/30</f>
        <v>144477.15333333332</v>
      </c>
      <c r="J19" s="218">
        <f t="shared" si="2"/>
        <v>1824607.2533333332</v>
      </c>
      <c r="K19" s="219">
        <f t="shared" si="0"/>
        <v>2452119.5736247557</v>
      </c>
      <c r="L19" s="219">
        <f t="shared" si="1"/>
        <v>1490836.9699484434</v>
      </c>
      <c r="M19" s="468"/>
    </row>
    <row r="20" spans="1:13" ht="12">
      <c r="A20" s="216">
        <v>11</v>
      </c>
      <c r="B20" s="217"/>
      <c r="C20" s="217"/>
      <c r="D20" s="217"/>
      <c r="E20" s="217"/>
      <c r="F20" s="217"/>
      <c r="G20" s="217"/>
      <c r="H20" s="217"/>
      <c r="I20" s="217">
        <f>'Operating Cost Estimate'!$J$67/30</f>
        <v>144477.15333333332</v>
      </c>
      <c r="J20" s="218">
        <f t="shared" si="2"/>
        <v>144477.15333333332</v>
      </c>
      <c r="K20" s="219">
        <f t="shared" si="0"/>
        <v>199990.1691898492</v>
      </c>
      <c r="L20" s="219">
        <f t="shared" si="1"/>
        <v>115687.38614108533</v>
      </c>
      <c r="M20" s="468"/>
    </row>
    <row r="21" spans="1:13" ht="12">
      <c r="A21" s="216">
        <v>12</v>
      </c>
      <c r="B21" s="217"/>
      <c r="C21" s="217"/>
      <c r="D21" s="217"/>
      <c r="E21" s="217"/>
      <c r="F21" s="217"/>
      <c r="G21" s="217"/>
      <c r="H21" s="217"/>
      <c r="I21" s="217">
        <f>'Operating Cost Estimate'!$J$67/30</f>
        <v>144477.15333333332</v>
      </c>
      <c r="J21" s="218">
        <f t="shared" si="2"/>
        <v>144477.15333333332</v>
      </c>
      <c r="K21" s="219">
        <f t="shared" si="0"/>
        <v>205989.87426554464</v>
      </c>
      <c r="L21" s="219">
        <f t="shared" si="1"/>
        <v>113373.63841826362</v>
      </c>
      <c r="M21" s="468"/>
    </row>
    <row r="22" spans="1:13" ht="12">
      <c r="A22" s="216">
        <v>13</v>
      </c>
      <c r="B22" s="217"/>
      <c r="C22" s="217"/>
      <c r="D22" s="217"/>
      <c r="E22" s="217"/>
      <c r="F22" s="217"/>
      <c r="G22" s="217"/>
      <c r="H22" s="217"/>
      <c r="I22" s="217">
        <f>'Operating Cost Estimate'!$J$67/30</f>
        <v>144477.15333333332</v>
      </c>
      <c r="J22" s="218">
        <f t="shared" si="2"/>
        <v>144477.15333333332</v>
      </c>
      <c r="K22" s="219">
        <f t="shared" si="0"/>
        <v>212169.57049351098</v>
      </c>
      <c r="L22" s="219">
        <f t="shared" si="1"/>
        <v>111106.16564989835</v>
      </c>
      <c r="M22" s="468"/>
    </row>
    <row r="23" spans="1:13" ht="12">
      <c r="A23" s="216">
        <v>14</v>
      </c>
      <c r="B23" s="217"/>
      <c r="C23" s="217"/>
      <c r="D23" s="217"/>
      <c r="E23" s="217"/>
      <c r="F23" s="217"/>
      <c r="G23" s="217"/>
      <c r="H23" s="217"/>
      <c r="I23" s="217">
        <f>'Operating Cost Estimate'!$J$67/30</f>
        <v>144477.15333333332</v>
      </c>
      <c r="J23" s="218">
        <f t="shared" si="2"/>
        <v>144477.15333333332</v>
      </c>
      <c r="K23" s="219">
        <f t="shared" si="0"/>
        <v>218534.65760831634</v>
      </c>
      <c r="L23" s="219">
        <f t="shared" si="1"/>
        <v>108884.04233690037</v>
      </c>
      <c r="M23" s="468"/>
    </row>
    <row r="24" spans="1:13" ht="12">
      <c r="A24" s="216">
        <v>15</v>
      </c>
      <c r="B24" s="217"/>
      <c r="C24" s="217"/>
      <c r="D24" s="217"/>
      <c r="E24" s="217"/>
      <c r="F24" s="217"/>
      <c r="G24" s="217"/>
      <c r="H24" s="217"/>
      <c r="I24" s="217">
        <f>'Operating Cost Estimate'!$J$67/30</f>
        <v>144477.15333333332</v>
      </c>
      <c r="J24" s="218">
        <f t="shared" si="2"/>
        <v>144477.15333333332</v>
      </c>
      <c r="K24" s="219">
        <f t="shared" si="0"/>
        <v>225090.69733656585</v>
      </c>
      <c r="L24" s="219">
        <f t="shared" si="1"/>
        <v>106706.36149016237</v>
      </c>
      <c r="M24" s="468"/>
    </row>
    <row r="25" spans="1:13" ht="12">
      <c r="A25" s="216">
        <v>16</v>
      </c>
      <c r="B25" s="217"/>
      <c r="C25" s="217"/>
      <c r="D25" s="217"/>
      <c r="E25" s="217"/>
      <c r="F25" s="217"/>
      <c r="G25" s="217"/>
      <c r="H25" s="217"/>
      <c r="I25" s="217">
        <f>'Operating Cost Estimate'!$J$67/30</f>
        <v>144477.15333333332</v>
      </c>
      <c r="J25" s="218">
        <f t="shared" si="2"/>
        <v>144477.15333333332</v>
      </c>
      <c r="K25" s="219">
        <f t="shared" si="0"/>
        <v>231843.41825666276</v>
      </c>
      <c r="L25" s="219">
        <f t="shared" si="1"/>
        <v>104572.23426035912</v>
      </c>
      <c r="M25" s="468"/>
    </row>
    <row r="26" spans="1:13" ht="12">
      <c r="A26" s="216">
        <v>17</v>
      </c>
      <c r="B26" s="217"/>
      <c r="C26" s="217"/>
      <c r="D26" s="217"/>
      <c r="E26" s="217"/>
      <c r="F26" s="217"/>
      <c r="G26" s="217"/>
      <c r="H26" s="217"/>
      <c r="I26" s="217">
        <f>'Operating Cost Estimate'!$J$67/30</f>
        <v>144477.15333333332</v>
      </c>
      <c r="J26" s="218">
        <f t="shared" si="2"/>
        <v>144477.15333333332</v>
      </c>
      <c r="K26" s="219">
        <f t="shared" si="0"/>
        <v>238798.72080436265</v>
      </c>
      <c r="L26" s="219">
        <f t="shared" si="1"/>
        <v>102480.78957515194</v>
      </c>
      <c r="M26" s="468"/>
    </row>
    <row r="27" spans="1:13" ht="12">
      <c r="A27" s="216">
        <v>18</v>
      </c>
      <c r="B27" s="217"/>
      <c r="C27" s="217"/>
      <c r="D27" s="217"/>
      <c r="E27" s="217"/>
      <c r="F27" s="217"/>
      <c r="G27" s="217"/>
      <c r="H27" s="217"/>
      <c r="I27" s="217">
        <f>'Operating Cost Estimate'!$J$67/30</f>
        <v>144477.15333333332</v>
      </c>
      <c r="J27" s="218">
        <f t="shared" si="2"/>
        <v>144477.15333333332</v>
      </c>
      <c r="K27" s="219">
        <f t="shared" si="0"/>
        <v>245962.68242849354</v>
      </c>
      <c r="L27" s="219">
        <f t="shared" si="1"/>
        <v>100431.17378364889</v>
      </c>
      <c r="M27" s="468"/>
    </row>
    <row r="28" spans="1:13" ht="12">
      <c r="A28" s="216">
        <v>19</v>
      </c>
      <c r="B28" s="217"/>
      <c r="C28" s="217"/>
      <c r="D28" s="217"/>
      <c r="E28" s="217"/>
      <c r="F28" s="217"/>
      <c r="G28" s="217"/>
      <c r="H28" s="217"/>
      <c r="I28" s="217">
        <f>'Operating Cost Estimate'!$J$67/30</f>
        <v>144477.15333333332</v>
      </c>
      <c r="J28" s="218">
        <f t="shared" si="2"/>
        <v>144477.15333333332</v>
      </c>
      <c r="K28" s="219">
        <f t="shared" si="0"/>
        <v>253341.56290134834</v>
      </c>
      <c r="L28" s="219">
        <f t="shared" si="1"/>
        <v>98422.55030797591</v>
      </c>
      <c r="M28" s="468"/>
    </row>
    <row r="29" spans="1:13" ht="12">
      <c r="A29" s="216">
        <v>20</v>
      </c>
      <c r="B29" s="217"/>
      <c r="C29" s="217"/>
      <c r="D29" s="217"/>
      <c r="E29" s="217"/>
      <c r="F29" s="217"/>
      <c r="G29" s="217"/>
      <c r="H29" s="217"/>
      <c r="I29" s="217">
        <f>'Operating Cost Estimate'!$J$67/30</f>
        <v>144477.15333333332</v>
      </c>
      <c r="J29" s="218">
        <f t="shared" si="2"/>
        <v>144477.15333333332</v>
      </c>
      <c r="K29" s="219">
        <f t="shared" si="0"/>
        <v>260941.80978838878</v>
      </c>
      <c r="L29" s="219">
        <f t="shared" si="1"/>
        <v>96454.0993018164</v>
      </c>
      <c r="M29" s="468"/>
    </row>
    <row r="30" spans="1:13" ht="12">
      <c r="A30" s="216">
        <v>21</v>
      </c>
      <c r="B30" s="217"/>
      <c r="C30" s="217"/>
      <c r="D30" s="217"/>
      <c r="E30" s="217"/>
      <c r="F30" s="217"/>
      <c r="G30" s="217"/>
      <c r="H30" s="217"/>
      <c r="I30" s="217">
        <f>'Operating Cost Estimate'!$J$67/30</f>
        <v>144477.15333333332</v>
      </c>
      <c r="J30" s="218">
        <f t="shared" si="2"/>
        <v>144477.15333333332</v>
      </c>
      <c r="K30" s="219">
        <f t="shared" si="0"/>
        <v>268770.0640820404</v>
      </c>
      <c r="L30" s="219">
        <f t="shared" si="1"/>
        <v>94525.01731578006</v>
      </c>
      <c r="M30" s="468"/>
    </row>
    <row r="31" spans="1:13" ht="12">
      <c r="A31" s="216">
        <v>22</v>
      </c>
      <c r="B31" s="217"/>
      <c r="C31" s="217"/>
      <c r="D31" s="217"/>
      <c r="E31" s="217"/>
      <c r="F31" s="217"/>
      <c r="G31" s="217"/>
      <c r="H31" s="217"/>
      <c r="I31" s="217">
        <f>'Operating Cost Estimate'!$J$67/30</f>
        <v>144477.15333333332</v>
      </c>
      <c r="J31" s="218">
        <f t="shared" si="2"/>
        <v>144477.15333333332</v>
      </c>
      <c r="K31" s="219">
        <f t="shared" si="0"/>
        <v>276833.16600450163</v>
      </c>
      <c r="L31" s="219">
        <f t="shared" si="1"/>
        <v>92634.51696946446</v>
      </c>
      <c r="M31" s="468"/>
    </row>
    <row r="32" spans="1:13" ht="12">
      <c r="A32" s="216">
        <v>23</v>
      </c>
      <c r="B32" s="217"/>
      <c r="C32" s="217"/>
      <c r="D32" s="217"/>
      <c r="E32" s="217"/>
      <c r="F32" s="217"/>
      <c r="G32" s="217"/>
      <c r="H32" s="217"/>
      <c r="I32" s="217">
        <f>'Operating Cost Estimate'!$J$67/30</f>
        <v>144477.15333333332</v>
      </c>
      <c r="J32" s="218">
        <f t="shared" si="2"/>
        <v>144477.15333333332</v>
      </c>
      <c r="K32" s="219">
        <f t="shared" si="0"/>
        <v>285138.1609846367</v>
      </c>
      <c r="L32" s="219">
        <f t="shared" si="1"/>
        <v>90781.82663007516</v>
      </c>
      <c r="M32" s="468"/>
    </row>
    <row r="33" spans="1:13" ht="12">
      <c r="A33" s="216">
        <v>24</v>
      </c>
      <c r="B33" s="217"/>
      <c r="C33" s="217"/>
      <c r="D33" s="217"/>
      <c r="E33" s="217"/>
      <c r="F33" s="217"/>
      <c r="G33" s="217"/>
      <c r="H33" s="217"/>
      <c r="I33" s="217">
        <f>'Operating Cost Estimate'!$J$67/30</f>
        <v>144477.15333333332</v>
      </c>
      <c r="J33" s="218">
        <f t="shared" si="2"/>
        <v>144477.15333333332</v>
      </c>
      <c r="K33" s="219">
        <f t="shared" si="0"/>
        <v>293692.30581417575</v>
      </c>
      <c r="L33" s="219">
        <f t="shared" si="1"/>
        <v>88966.19009747366</v>
      </c>
      <c r="M33" s="468"/>
    </row>
    <row r="34" spans="1:13" ht="12">
      <c r="A34" s="216">
        <v>25</v>
      </c>
      <c r="B34" s="217"/>
      <c r="C34" s="217"/>
      <c r="D34" s="217"/>
      <c r="E34" s="217"/>
      <c r="F34" s="217"/>
      <c r="G34" s="217"/>
      <c r="H34" s="217"/>
      <c r="I34" s="217">
        <f>'Operating Cost Estimate'!$J$67/30</f>
        <v>144477.15333333332</v>
      </c>
      <c r="J34" s="218">
        <f t="shared" si="2"/>
        <v>144477.15333333332</v>
      </c>
      <c r="K34" s="219">
        <f t="shared" si="0"/>
        <v>302503.07498860103</v>
      </c>
      <c r="L34" s="219">
        <f t="shared" si="1"/>
        <v>87186.86629552417</v>
      </c>
      <c r="M34" s="468"/>
    </row>
    <row r="35" spans="1:13" ht="12">
      <c r="A35" s="216">
        <v>26</v>
      </c>
      <c r="B35" s="217"/>
      <c r="C35" s="217"/>
      <c r="D35" s="217"/>
      <c r="E35" s="217"/>
      <c r="F35" s="217"/>
      <c r="G35" s="217"/>
      <c r="H35" s="217"/>
      <c r="I35" s="217">
        <f>'Operating Cost Estimate'!$J$67/30</f>
        <v>144477.15333333332</v>
      </c>
      <c r="J35" s="218">
        <f t="shared" si="2"/>
        <v>144477.15333333332</v>
      </c>
      <c r="K35" s="219">
        <f t="shared" si="0"/>
        <v>311578.1672382591</v>
      </c>
      <c r="L35" s="219">
        <f t="shared" si="1"/>
        <v>85443.1289696137</v>
      </c>
      <c r="M35" s="468"/>
    </row>
    <row r="36" spans="1:13" ht="12">
      <c r="A36" s="216">
        <v>27</v>
      </c>
      <c r="B36" s="217"/>
      <c r="C36" s="217"/>
      <c r="D36" s="217"/>
      <c r="E36" s="217"/>
      <c r="F36" s="217"/>
      <c r="G36" s="217"/>
      <c r="H36" s="217"/>
      <c r="I36" s="217">
        <f>'Operating Cost Estimate'!$J$67/30</f>
        <v>144477.15333333332</v>
      </c>
      <c r="J36" s="218">
        <f t="shared" si="2"/>
        <v>144477.15333333332</v>
      </c>
      <c r="K36" s="219">
        <f t="shared" si="0"/>
        <v>320925.5122554069</v>
      </c>
      <c r="L36" s="219">
        <f t="shared" si="1"/>
        <v>83734.26639022141</v>
      </c>
      <c r="M36" s="468"/>
    </row>
    <row r="37" spans="1:13" ht="12">
      <c r="A37" s="216">
        <v>28</v>
      </c>
      <c r="B37" s="217"/>
      <c r="C37" s="217"/>
      <c r="D37" s="217"/>
      <c r="E37" s="217"/>
      <c r="F37" s="217"/>
      <c r="G37" s="217"/>
      <c r="H37" s="217"/>
      <c r="I37" s="217">
        <f>'Operating Cost Estimate'!$J$67/30</f>
        <v>144477.15333333332</v>
      </c>
      <c r="J37" s="218">
        <f t="shared" si="2"/>
        <v>144477.15333333332</v>
      </c>
      <c r="K37" s="219">
        <f t="shared" si="0"/>
        <v>330553.27762306907</v>
      </c>
      <c r="L37" s="219">
        <f t="shared" si="1"/>
        <v>82059.58106241698</v>
      </c>
      <c r="M37" s="468"/>
    </row>
    <row r="38" spans="1:13" ht="12">
      <c r="A38" s="216">
        <v>29</v>
      </c>
      <c r="B38" s="217"/>
      <c r="C38" s="217"/>
      <c r="D38" s="217"/>
      <c r="E38" s="217"/>
      <c r="F38" s="217"/>
      <c r="G38" s="217"/>
      <c r="H38" s="217">
        <f>'Operating Cost Estimate'!$J$62</f>
        <v>770000</v>
      </c>
      <c r="I38" s="217">
        <f>'Operating Cost Estimate'!$J$67/30</f>
        <v>144477.15333333332</v>
      </c>
      <c r="J38" s="218">
        <f t="shared" si="2"/>
        <v>914477.1533333333</v>
      </c>
      <c r="K38" s="219">
        <f t="shared" si="0"/>
        <v>2155025.315578982</v>
      </c>
      <c r="L38" s="219">
        <f t="shared" si="1"/>
        <v>509013.2118130832</v>
      </c>
      <c r="M38" s="468"/>
    </row>
    <row r="39" spans="1:13" ht="12">
      <c r="A39" s="214" t="s">
        <v>99</v>
      </c>
      <c r="B39" s="215">
        <f aca="true" t="shared" si="3" ref="B39:L39">SUM(B9:B38)</f>
        <v>2610042.8200000008</v>
      </c>
      <c r="C39" s="215">
        <f t="shared" si="3"/>
        <v>2900799.44</v>
      </c>
      <c r="D39" s="215">
        <f t="shared" si="3"/>
        <v>11760910.7</v>
      </c>
      <c r="E39" s="215">
        <f t="shared" si="3"/>
        <v>1118.04</v>
      </c>
      <c r="F39" s="215">
        <f t="shared" si="3"/>
        <v>19268.48</v>
      </c>
      <c r="G39" s="215">
        <f t="shared" si="3"/>
        <v>5390000</v>
      </c>
      <c r="H39" s="215">
        <f t="shared" si="3"/>
        <v>770000</v>
      </c>
      <c r="I39" s="215">
        <f t="shared" si="3"/>
        <v>4334314.6</v>
      </c>
      <c r="J39" s="215">
        <f t="shared" si="3"/>
        <v>27786454.07999998</v>
      </c>
      <c r="K39" s="215">
        <f t="shared" si="3"/>
        <v>33771290.55762968</v>
      </c>
      <c r="L39" s="215">
        <f t="shared" si="3"/>
        <v>24977708.04127014</v>
      </c>
      <c r="M39" s="467"/>
    </row>
    <row r="40" spans="1:13" ht="12">
      <c r="A40" s="469"/>
      <c r="B40" s="469"/>
      <c r="C40" s="469"/>
      <c r="D40" s="469"/>
      <c r="E40" s="469"/>
      <c r="F40" s="469"/>
      <c r="G40" s="469"/>
      <c r="H40" s="469"/>
      <c r="I40" s="469"/>
      <c r="J40" s="470"/>
      <c r="K40" s="469"/>
      <c r="L40" s="469"/>
      <c r="M40" s="469"/>
    </row>
    <row r="41" spans="2:13" ht="12">
      <c r="B41" s="203"/>
      <c r="C41" s="203"/>
      <c r="D41" s="203"/>
      <c r="E41" s="203"/>
      <c r="F41" s="205"/>
      <c r="G41" s="203"/>
      <c r="H41" s="203"/>
      <c r="I41" s="203"/>
      <c r="J41" s="203"/>
      <c r="K41" s="203"/>
      <c r="M41" s="204"/>
    </row>
    <row r="42" spans="1:11" ht="1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</row>
    <row r="43" spans="1:11" ht="12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5"/>
    </row>
    <row r="44" spans="1:11" ht="12">
      <c r="A44" s="220"/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ht="1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</row>
    <row r="46" spans="1:11" ht="1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</row>
    <row r="47" spans="1:11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</row>
    <row r="48" spans="1:11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ht="12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1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1" ht="1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11" ht="12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1" ht="12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11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1:11" ht="12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12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</row>
    <row r="58" spans="1:11" ht="12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</row>
    <row r="59" spans="1:11" ht="12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</row>
    <row r="60" spans="1:11" ht="12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</row>
    <row r="61" spans="1:11" ht="12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5"/>
    </row>
    <row r="62" spans="1:11" ht="1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5"/>
    </row>
    <row r="63" spans="1:11" ht="12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5"/>
    </row>
    <row r="64" spans="1:11" ht="12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 ht="12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</row>
    <row r="66" spans="1:11" ht="12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5"/>
    </row>
    <row r="67" spans="1:11" ht="12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5"/>
    </row>
    <row r="68" spans="1:11" ht="12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5"/>
    </row>
    <row r="69" spans="1:11" ht="12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</row>
    <row r="70" spans="1:11" ht="12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</row>
    <row r="71" spans="1:11" ht="12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5"/>
    </row>
    <row r="72" spans="1:11" ht="12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5"/>
    </row>
    <row r="73" spans="1:11" ht="12">
      <c r="A73" s="203"/>
      <c r="B73" s="203"/>
      <c r="C73" s="203"/>
      <c r="D73" s="203"/>
      <c r="E73" s="203"/>
      <c r="F73" s="203"/>
      <c r="G73" s="203"/>
      <c r="H73" s="203"/>
      <c r="I73" s="203"/>
      <c r="K73" s="205"/>
    </row>
    <row r="79" ht="12">
      <c r="J79" s="206"/>
    </row>
    <row r="80" spans="8:9" ht="12">
      <c r="H80" s="206"/>
      <c r="I80" s="206"/>
    </row>
    <row r="82" ht="4.5" customHeight="1"/>
    <row r="84" ht="4.5" customHeight="1"/>
    <row r="86" ht="4.5" customHeight="1"/>
    <row r="88" ht="4.5" customHeight="1"/>
    <row r="92" ht="4.5" customHeight="1"/>
    <row r="96" ht="4.5" customHeight="1"/>
    <row r="101" ht="12">
      <c r="G101" s="207"/>
    </row>
    <row r="102" ht="12">
      <c r="G102" s="207"/>
    </row>
    <row r="103" ht="12">
      <c r="G103" s="207"/>
    </row>
    <row r="109" ht="4.5" customHeight="1"/>
    <row r="113" ht="4.5" customHeight="1"/>
    <row r="114" spans="2:3" ht="12">
      <c r="B114" s="208"/>
      <c r="C114" s="208"/>
    </row>
  </sheetData>
  <mergeCells count="6">
    <mergeCell ref="B3:K3"/>
    <mergeCell ref="A6:A8"/>
    <mergeCell ref="B6:I6"/>
    <mergeCell ref="J6:J8"/>
    <mergeCell ref="B7:F7"/>
    <mergeCell ref="G7:I7"/>
  </mergeCells>
  <hyperlinks>
    <hyperlink ref="K9" r:id="rId1" display="=@npv(L8,K9)"/>
    <hyperlink ref="L9" r:id="rId2" display="=@npv(L8,K9)"/>
    <hyperlink ref="K10:K38" r:id="rId3" display="=@npv(L8,K9)"/>
    <hyperlink ref="L10:L38" r:id="rId4" display="=@npv(L8,K9)"/>
  </hyperlinks>
  <printOptions/>
  <pageMargins left="0.75" right="0.75" top="1" bottom="1" header="0.5" footer="0.5"/>
  <pageSetup fitToHeight="1" fitToWidth="1" horizontalDpi="600" verticalDpi="600" orientation="landscape" scale="82" r:id="rId5"/>
  <headerFooter alignWithMargins="0">
    <oddFooter>&amp;L&amp;"Braggadocio,Regular"CSP&amp;X2&amp;RPage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75" zoomScaleNormal="75" workbookViewId="0" topLeftCell="A1">
      <selection activeCell="H24" sqref="H24"/>
    </sheetView>
  </sheetViews>
  <sheetFormatPr defaultColWidth="9.140625" defaultRowHeight="12.75"/>
  <cols>
    <col min="1" max="1" width="15.421875" style="198" customWidth="1"/>
    <col min="2" max="3" width="11.7109375" style="198" customWidth="1"/>
    <col min="4" max="5" width="12.7109375" style="198" customWidth="1"/>
    <col min="6" max="6" width="11.7109375" style="198" bestFit="1" customWidth="1"/>
    <col min="7" max="9" width="11.7109375" style="198" customWidth="1"/>
    <col min="10" max="10" width="14.28125" style="198" customWidth="1"/>
    <col min="11" max="12" width="12.7109375" style="198" bestFit="1" customWidth="1"/>
    <col min="13" max="155" width="11.00390625" style="198" bestFit="1" customWidth="1"/>
    <col min="156" max="156" width="12.00390625" style="198" bestFit="1" customWidth="1"/>
    <col min="157" max="16384" width="8.00390625" style="198" customWidth="1"/>
  </cols>
  <sheetData>
    <row r="1" spans="1:10" ht="12">
      <c r="A1" s="195"/>
      <c r="B1" s="196" t="s">
        <v>200</v>
      </c>
      <c r="C1" s="196"/>
      <c r="D1" s="197"/>
      <c r="E1" s="197"/>
      <c r="F1" s="197"/>
      <c r="G1" s="197"/>
      <c r="H1" s="197"/>
      <c r="I1" s="197"/>
      <c r="J1" s="197"/>
    </row>
    <row r="2" spans="2:10" ht="12">
      <c r="B2" s="196" t="s">
        <v>163</v>
      </c>
      <c r="C2" s="196"/>
      <c r="D2" s="197"/>
      <c r="E2" s="197"/>
      <c r="F2" s="197"/>
      <c r="G2" s="197"/>
      <c r="H2" s="197"/>
      <c r="I2" s="197"/>
      <c r="J2" s="197"/>
    </row>
    <row r="3" spans="2:10" ht="12">
      <c r="B3" s="537" t="s">
        <v>193</v>
      </c>
      <c r="C3" s="537"/>
      <c r="D3" s="538"/>
      <c r="E3" s="538"/>
      <c r="F3" s="538"/>
      <c r="G3" s="538"/>
      <c r="H3" s="538"/>
      <c r="I3" s="538"/>
      <c r="J3" s="538"/>
    </row>
    <row r="4" spans="2:10" ht="12">
      <c r="B4" s="196"/>
      <c r="C4" s="196"/>
      <c r="D4" s="197"/>
      <c r="E4" s="197"/>
      <c r="F4" s="197"/>
      <c r="G4" s="197"/>
      <c r="H4" s="197"/>
      <c r="I4" s="197"/>
      <c r="J4" s="197"/>
    </row>
    <row r="6" spans="1:12" ht="12">
      <c r="A6" s="539" t="s">
        <v>97</v>
      </c>
      <c r="B6" s="541" t="s">
        <v>164</v>
      </c>
      <c r="C6" s="541"/>
      <c r="D6" s="541"/>
      <c r="E6" s="541"/>
      <c r="F6" s="541"/>
      <c r="G6" s="542"/>
      <c r="H6" s="542"/>
      <c r="I6" s="542"/>
      <c r="J6" s="543" t="s">
        <v>100</v>
      </c>
      <c r="K6" s="199" t="s">
        <v>165</v>
      </c>
      <c r="L6" s="200" t="s">
        <v>166</v>
      </c>
    </row>
    <row r="7" spans="1:12" ht="12">
      <c r="A7" s="540"/>
      <c r="B7" s="542" t="s">
        <v>95</v>
      </c>
      <c r="C7" s="542"/>
      <c r="D7" s="542"/>
      <c r="E7" s="542"/>
      <c r="F7" s="542"/>
      <c r="G7" s="545" t="s">
        <v>96</v>
      </c>
      <c r="H7" s="546"/>
      <c r="I7" s="547"/>
      <c r="J7" s="544"/>
      <c r="K7" s="201" t="s">
        <v>167</v>
      </c>
      <c r="L7" s="202" t="s">
        <v>168</v>
      </c>
    </row>
    <row r="8" spans="1:12" ht="36">
      <c r="A8" s="540"/>
      <c r="B8" s="209" t="s">
        <v>194</v>
      </c>
      <c r="C8" s="210" t="s">
        <v>267</v>
      </c>
      <c r="D8" s="211" t="s">
        <v>172</v>
      </c>
      <c r="E8" s="209" t="s">
        <v>32</v>
      </c>
      <c r="F8" s="209" t="s">
        <v>98</v>
      </c>
      <c r="G8" s="210" t="s">
        <v>169</v>
      </c>
      <c r="H8" s="209" t="s">
        <v>170</v>
      </c>
      <c r="I8" s="209" t="s">
        <v>171</v>
      </c>
      <c r="J8" s="544"/>
      <c r="K8" s="212">
        <v>0.03</v>
      </c>
      <c r="L8" s="213">
        <v>0.05</v>
      </c>
    </row>
    <row r="9" spans="1:12" ht="12">
      <c r="A9" s="216">
        <v>0</v>
      </c>
      <c r="B9" s="217"/>
      <c r="C9" s="217">
        <f>'Capital Cost Estimate'!$W$561/2</f>
        <v>1489248.915</v>
      </c>
      <c r="D9" s="217">
        <f>'Capital Cost Estimate'!$W$578/7</f>
        <v>1784390.2560000003</v>
      </c>
      <c r="E9" s="217"/>
      <c r="F9" s="217"/>
      <c r="G9" s="217">
        <f>'Operating Cost Estimate'!$L$61/10</f>
        <v>1005903.36</v>
      </c>
      <c r="H9" s="217"/>
      <c r="I9" s="217">
        <f>'Operating Cost Estimate'!$L$67/30</f>
        <v>144477.15333333332</v>
      </c>
      <c r="J9" s="218">
        <f>SUM(B9:I9)</f>
        <v>4424019.684333334</v>
      </c>
      <c r="K9" s="219">
        <f aca="true" t="shared" si="0" ref="K9:K38">($J9*((1+K$8)^A9))</f>
        <v>4424019.684333334</v>
      </c>
      <c r="L9" s="219">
        <f aca="true" t="shared" si="1" ref="L9:L38">J9*((1+K$8-L$8)^A9)</f>
        <v>4424019.684333334</v>
      </c>
    </row>
    <row r="10" spans="1:12" ht="12">
      <c r="A10" s="216">
        <f>1+A9</f>
        <v>1</v>
      </c>
      <c r="B10" s="217">
        <f>'Capital Cost Estimate'!$W$551/4</f>
        <v>899842.79</v>
      </c>
      <c r="C10" s="217">
        <f>'Capital Cost Estimate'!$W$561/2</f>
        <v>1489248.915</v>
      </c>
      <c r="D10" s="217">
        <f>'Capital Cost Estimate'!$W$578/7</f>
        <v>1784390.2560000003</v>
      </c>
      <c r="E10" s="217"/>
      <c r="F10" s="217">
        <f>'Capital Cost Estimate'!$W$584/10</f>
        <v>32726.847999999998</v>
      </c>
      <c r="G10" s="217">
        <f>'Operating Cost Estimate'!$L$61/10</f>
        <v>1005903.36</v>
      </c>
      <c r="H10" s="217"/>
      <c r="I10" s="217">
        <f>'Operating Cost Estimate'!$L$67/30</f>
        <v>144477.15333333332</v>
      </c>
      <c r="J10" s="218">
        <f>SUM(B10:I10)</f>
        <v>5356589.322333334</v>
      </c>
      <c r="K10" s="219">
        <f t="shared" si="0"/>
        <v>5517287.002003334</v>
      </c>
      <c r="L10" s="219">
        <f t="shared" si="1"/>
        <v>5249457.535886668</v>
      </c>
    </row>
    <row r="11" spans="1:12" ht="12">
      <c r="A11" s="216">
        <f>1+A10</f>
        <v>2</v>
      </c>
      <c r="B11" s="217">
        <f>'Capital Cost Estimate'!$W$551/4</f>
        <v>899842.79</v>
      </c>
      <c r="C11" s="217"/>
      <c r="D11" s="217">
        <f>'Capital Cost Estimate'!$W$578/7</f>
        <v>1784390.2560000003</v>
      </c>
      <c r="E11" s="217"/>
      <c r="F11" s="217">
        <f>'Capital Cost Estimate'!$W$584/10</f>
        <v>32726.847999999998</v>
      </c>
      <c r="G11" s="217">
        <f>'Operating Cost Estimate'!$L$61/10</f>
        <v>1005903.36</v>
      </c>
      <c r="H11" s="217"/>
      <c r="I11" s="217">
        <f>'Operating Cost Estimate'!$L$67/30</f>
        <v>144477.15333333332</v>
      </c>
      <c r="J11" s="218">
        <f aca="true" t="shared" si="2" ref="J11:J38">SUM(B11:I11)</f>
        <v>3867340.4073333335</v>
      </c>
      <c r="K11" s="219">
        <f t="shared" si="0"/>
        <v>4102861.438139933</v>
      </c>
      <c r="L11" s="219">
        <f t="shared" si="1"/>
        <v>3714193.7272029333</v>
      </c>
    </row>
    <row r="12" spans="1:12" ht="12">
      <c r="A12" s="216">
        <v>3</v>
      </c>
      <c r="B12" s="217">
        <f>'Capital Cost Estimate'!$W$551/4</f>
        <v>899842.79</v>
      </c>
      <c r="C12" s="217"/>
      <c r="D12" s="217">
        <f>'Capital Cost Estimate'!$W$578/7</f>
        <v>1784390.2560000003</v>
      </c>
      <c r="E12" s="217"/>
      <c r="F12" s="217">
        <f>'Capital Cost Estimate'!$W$584/10</f>
        <v>32726.847999999998</v>
      </c>
      <c r="G12" s="217">
        <f>'Operating Cost Estimate'!$L$61/10</f>
        <v>1005903.36</v>
      </c>
      <c r="H12" s="217"/>
      <c r="I12" s="217">
        <f>'Operating Cost Estimate'!$L$67/30</f>
        <v>144477.15333333332</v>
      </c>
      <c r="J12" s="218">
        <f t="shared" si="2"/>
        <v>3867340.4073333335</v>
      </c>
      <c r="K12" s="219">
        <f t="shared" si="0"/>
        <v>4225947.281284131</v>
      </c>
      <c r="L12" s="219">
        <f t="shared" si="1"/>
        <v>3639909.8526588744</v>
      </c>
    </row>
    <row r="13" spans="1:12" ht="12">
      <c r="A13" s="216">
        <v>4</v>
      </c>
      <c r="B13" s="217">
        <f>'Capital Cost Estimate'!$W$551/4</f>
        <v>899842.79</v>
      </c>
      <c r="C13" s="217"/>
      <c r="D13" s="217">
        <f>'Capital Cost Estimate'!$W$578/7</f>
        <v>1784390.2560000003</v>
      </c>
      <c r="E13" s="217">
        <f>'Capital Cost Estimate'!$W$583</f>
        <v>1118.04</v>
      </c>
      <c r="F13" s="217">
        <f>'Capital Cost Estimate'!$W$584/10</f>
        <v>32726.847999999998</v>
      </c>
      <c r="G13" s="217">
        <f>'Operating Cost Estimate'!$L$61/10</f>
        <v>1005903.36</v>
      </c>
      <c r="H13" s="217"/>
      <c r="I13" s="217">
        <f>'Operating Cost Estimate'!$L$67/30</f>
        <v>144477.15333333332</v>
      </c>
      <c r="J13" s="218">
        <f t="shared" si="2"/>
        <v>3868458.4473333335</v>
      </c>
      <c r="K13" s="219">
        <f t="shared" si="0"/>
        <v>4353984.063592588</v>
      </c>
      <c r="L13" s="219">
        <f t="shared" si="1"/>
        <v>3568142.900103303</v>
      </c>
    </row>
    <row r="14" spans="1:12" ht="12">
      <c r="A14" s="216">
        <v>5</v>
      </c>
      <c r="C14" s="217"/>
      <c r="D14" s="217">
        <f>'Capital Cost Estimate'!$W$578/7</f>
        <v>1784390.2560000003</v>
      </c>
      <c r="E14" s="217"/>
      <c r="F14" s="217">
        <f>'Capital Cost Estimate'!$W$584/10</f>
        <v>32726.847999999998</v>
      </c>
      <c r="G14" s="217">
        <f>'Operating Cost Estimate'!$L$61/10</f>
        <v>1005903.36</v>
      </c>
      <c r="H14" s="217"/>
      <c r="I14" s="217">
        <f>'Operating Cost Estimate'!$L$67/30</f>
        <v>144477.15333333332</v>
      </c>
      <c r="J14" s="218">
        <f t="shared" si="2"/>
        <v>2967497.6173333335</v>
      </c>
      <c r="K14" s="219">
        <f t="shared" si="0"/>
        <v>3440143.0533215553</v>
      </c>
      <c r="L14" s="219">
        <f t="shared" si="1"/>
        <v>2682382.810762048</v>
      </c>
    </row>
    <row r="15" spans="1:12" ht="12">
      <c r="A15" s="216">
        <v>6</v>
      </c>
      <c r="B15" s="217"/>
      <c r="C15" s="217"/>
      <c r="D15" s="217"/>
      <c r="E15" s="217"/>
      <c r="F15" s="217">
        <f>'Capital Cost Estimate'!$W$584/10</f>
        <v>32726.847999999998</v>
      </c>
      <c r="G15" s="217">
        <f>'Operating Cost Estimate'!$L$61/10</f>
        <v>1005903.36</v>
      </c>
      <c r="H15" s="217"/>
      <c r="I15" s="217">
        <f>'Operating Cost Estimate'!$L$67/30</f>
        <v>144477.15333333332</v>
      </c>
      <c r="J15" s="218">
        <f t="shared" si="2"/>
        <v>1183107.3613333334</v>
      </c>
      <c r="K15" s="219">
        <f t="shared" si="0"/>
        <v>1412692.061840432</v>
      </c>
      <c r="L15" s="219">
        <f t="shared" si="1"/>
        <v>1048046.6417812445</v>
      </c>
    </row>
    <row r="16" spans="1:12" ht="12">
      <c r="A16" s="216">
        <v>7</v>
      </c>
      <c r="B16" s="217"/>
      <c r="C16" s="217"/>
      <c r="D16" s="217"/>
      <c r="E16" s="217"/>
      <c r="F16" s="217">
        <f>'Capital Cost Estimate'!$W$584/10</f>
        <v>32726.847999999998</v>
      </c>
      <c r="G16" s="217">
        <f>'Operating Cost Estimate'!$L$61/10</f>
        <v>1005903.36</v>
      </c>
      <c r="H16" s="217"/>
      <c r="I16" s="217">
        <f>'Operating Cost Estimate'!$L$67/30</f>
        <v>144477.15333333332</v>
      </c>
      <c r="J16" s="218">
        <f t="shared" si="2"/>
        <v>1183107.3613333334</v>
      </c>
      <c r="K16" s="219">
        <f t="shared" si="0"/>
        <v>1455072.8236956452</v>
      </c>
      <c r="L16" s="219">
        <f t="shared" si="1"/>
        <v>1027085.7089456196</v>
      </c>
    </row>
    <row r="17" spans="1:12" ht="12">
      <c r="A17" s="216">
        <v>8</v>
      </c>
      <c r="B17" s="217"/>
      <c r="C17" s="217"/>
      <c r="D17" s="217"/>
      <c r="E17" s="217"/>
      <c r="F17" s="217">
        <f>'Capital Cost Estimate'!$W$584/10</f>
        <v>32726.847999999998</v>
      </c>
      <c r="G17" s="217">
        <f>'Operating Cost Estimate'!$L$61/10</f>
        <v>1005903.36</v>
      </c>
      <c r="H17" s="217"/>
      <c r="I17" s="217">
        <f>'Operating Cost Estimate'!$L$67/30</f>
        <v>144477.15333333332</v>
      </c>
      <c r="J17" s="218">
        <f t="shared" si="2"/>
        <v>1183107.3613333334</v>
      </c>
      <c r="K17" s="219">
        <f t="shared" si="0"/>
        <v>1498725.0084065143</v>
      </c>
      <c r="L17" s="219">
        <f t="shared" si="1"/>
        <v>1006543.9947667073</v>
      </c>
    </row>
    <row r="18" spans="1:12" ht="12">
      <c r="A18" s="216">
        <v>9</v>
      </c>
      <c r="B18" s="217"/>
      <c r="C18" s="217"/>
      <c r="D18" s="217"/>
      <c r="E18" s="217"/>
      <c r="F18" s="217">
        <f>'Capital Cost Estimate'!$W$584/10</f>
        <v>32726.847999999998</v>
      </c>
      <c r="G18" s="217">
        <f>'Operating Cost Estimate'!$L$61/10</f>
        <v>1005903.36</v>
      </c>
      <c r="H18" s="217"/>
      <c r="I18" s="217">
        <f>'Operating Cost Estimate'!$L$67/30</f>
        <v>144477.15333333332</v>
      </c>
      <c r="J18" s="218">
        <f t="shared" si="2"/>
        <v>1183107.3613333334</v>
      </c>
      <c r="K18" s="219">
        <f t="shared" si="0"/>
        <v>1543686.7586587097</v>
      </c>
      <c r="L18" s="219">
        <f t="shared" si="1"/>
        <v>986413.1148713732</v>
      </c>
    </row>
    <row r="19" spans="1:12" ht="12">
      <c r="A19" s="216">
        <v>10</v>
      </c>
      <c r="B19" s="217"/>
      <c r="C19" s="217"/>
      <c r="D19" s="217">
        <f>'Capital Cost Estimate'!$W$578/7</f>
        <v>1784390.2560000003</v>
      </c>
      <c r="E19" s="217"/>
      <c r="F19" s="217">
        <f>'Capital Cost Estimate'!$W$584/10</f>
        <v>32726.847999999998</v>
      </c>
      <c r="G19" s="217"/>
      <c r="H19" s="217"/>
      <c r="I19" s="217">
        <f>'Operating Cost Estimate'!$L$67/30</f>
        <v>144477.15333333332</v>
      </c>
      <c r="J19" s="218">
        <f t="shared" si="2"/>
        <v>1961594.2573333336</v>
      </c>
      <c r="K19" s="219">
        <f t="shared" si="0"/>
        <v>2636218.652057635</v>
      </c>
      <c r="L19" s="219">
        <f t="shared" si="1"/>
        <v>1602765.3258138392</v>
      </c>
    </row>
    <row r="20" spans="1:12" ht="12">
      <c r="A20" s="216">
        <v>11</v>
      </c>
      <c r="B20" s="217"/>
      <c r="C20" s="217"/>
      <c r="D20" s="217"/>
      <c r="E20" s="217"/>
      <c r="F20" s="217"/>
      <c r="G20" s="217"/>
      <c r="H20" s="217"/>
      <c r="I20" s="217">
        <f>'Operating Cost Estimate'!$L$67/30</f>
        <v>144477.15333333332</v>
      </c>
      <c r="J20" s="218">
        <f t="shared" si="2"/>
        <v>144477.15333333332</v>
      </c>
      <c r="K20" s="219">
        <f t="shared" si="0"/>
        <v>199990.1691898492</v>
      </c>
      <c r="L20" s="219">
        <f t="shared" si="1"/>
        <v>115687.38614108533</v>
      </c>
    </row>
    <row r="21" spans="1:12" ht="12">
      <c r="A21" s="216">
        <v>12</v>
      </c>
      <c r="B21" s="217"/>
      <c r="C21" s="217"/>
      <c r="D21" s="217"/>
      <c r="E21" s="217"/>
      <c r="F21" s="217"/>
      <c r="G21" s="217"/>
      <c r="H21" s="217"/>
      <c r="I21" s="217">
        <f>'Operating Cost Estimate'!$L$67/30</f>
        <v>144477.15333333332</v>
      </c>
      <c r="J21" s="218">
        <f t="shared" si="2"/>
        <v>144477.15333333332</v>
      </c>
      <c r="K21" s="219">
        <f t="shared" si="0"/>
        <v>205989.87426554464</v>
      </c>
      <c r="L21" s="219">
        <f t="shared" si="1"/>
        <v>113373.63841826362</v>
      </c>
    </row>
    <row r="22" spans="1:12" ht="12">
      <c r="A22" s="216">
        <v>13</v>
      </c>
      <c r="B22" s="217"/>
      <c r="C22" s="217"/>
      <c r="D22" s="217"/>
      <c r="E22" s="217"/>
      <c r="F22" s="217"/>
      <c r="G22" s="217"/>
      <c r="H22" s="217"/>
      <c r="I22" s="217">
        <f>'Operating Cost Estimate'!$L$67/30</f>
        <v>144477.15333333332</v>
      </c>
      <c r="J22" s="218">
        <f t="shared" si="2"/>
        <v>144477.15333333332</v>
      </c>
      <c r="K22" s="219">
        <f t="shared" si="0"/>
        <v>212169.57049351098</v>
      </c>
      <c r="L22" s="219">
        <f t="shared" si="1"/>
        <v>111106.16564989835</v>
      </c>
    </row>
    <row r="23" spans="1:12" ht="12">
      <c r="A23" s="216">
        <v>14</v>
      </c>
      <c r="B23" s="217"/>
      <c r="C23" s="217"/>
      <c r="D23" s="217"/>
      <c r="E23" s="217"/>
      <c r="F23" s="217"/>
      <c r="G23" s="217"/>
      <c r="H23" s="217"/>
      <c r="I23" s="217">
        <f>'Operating Cost Estimate'!$L$67/30</f>
        <v>144477.15333333332</v>
      </c>
      <c r="J23" s="218">
        <f t="shared" si="2"/>
        <v>144477.15333333332</v>
      </c>
      <c r="K23" s="219">
        <f t="shared" si="0"/>
        <v>218534.65760831634</v>
      </c>
      <c r="L23" s="219">
        <f t="shared" si="1"/>
        <v>108884.04233690037</v>
      </c>
    </row>
    <row r="24" spans="1:12" ht="12">
      <c r="A24" s="216">
        <v>15</v>
      </c>
      <c r="B24" s="217"/>
      <c r="C24" s="217"/>
      <c r="D24" s="217"/>
      <c r="E24" s="217"/>
      <c r="F24" s="217"/>
      <c r="G24" s="217"/>
      <c r="H24" s="217"/>
      <c r="I24" s="217">
        <f>'Operating Cost Estimate'!$L$67/30</f>
        <v>144477.15333333332</v>
      </c>
      <c r="J24" s="218">
        <f t="shared" si="2"/>
        <v>144477.15333333332</v>
      </c>
      <c r="K24" s="219">
        <f t="shared" si="0"/>
        <v>225090.69733656585</v>
      </c>
      <c r="L24" s="219">
        <f t="shared" si="1"/>
        <v>106706.36149016237</v>
      </c>
    </row>
    <row r="25" spans="1:12" ht="12">
      <c r="A25" s="216">
        <v>16</v>
      </c>
      <c r="B25" s="217"/>
      <c r="C25" s="217"/>
      <c r="D25" s="217"/>
      <c r="E25" s="217"/>
      <c r="F25" s="217"/>
      <c r="G25" s="217"/>
      <c r="H25" s="217"/>
      <c r="I25" s="217">
        <f>'Operating Cost Estimate'!$L$67/30</f>
        <v>144477.15333333332</v>
      </c>
      <c r="J25" s="218">
        <f t="shared" si="2"/>
        <v>144477.15333333332</v>
      </c>
      <c r="K25" s="219">
        <f t="shared" si="0"/>
        <v>231843.41825666276</v>
      </c>
      <c r="L25" s="219">
        <f t="shared" si="1"/>
        <v>104572.23426035912</v>
      </c>
    </row>
    <row r="26" spans="1:12" ht="12">
      <c r="A26" s="216">
        <v>17</v>
      </c>
      <c r="B26" s="217"/>
      <c r="C26" s="217"/>
      <c r="D26" s="217"/>
      <c r="E26" s="217"/>
      <c r="F26" s="217"/>
      <c r="G26" s="217"/>
      <c r="H26" s="217"/>
      <c r="I26" s="217">
        <f>'Operating Cost Estimate'!$L$67/30</f>
        <v>144477.15333333332</v>
      </c>
      <c r="J26" s="218">
        <f t="shared" si="2"/>
        <v>144477.15333333332</v>
      </c>
      <c r="K26" s="219">
        <f t="shared" si="0"/>
        <v>238798.72080436265</v>
      </c>
      <c r="L26" s="219">
        <f t="shared" si="1"/>
        <v>102480.78957515194</v>
      </c>
    </row>
    <row r="27" spans="1:12" ht="12">
      <c r="A27" s="216">
        <v>18</v>
      </c>
      <c r="B27" s="217"/>
      <c r="C27" s="217"/>
      <c r="D27" s="217"/>
      <c r="E27" s="217"/>
      <c r="F27" s="217"/>
      <c r="G27" s="217"/>
      <c r="H27" s="217"/>
      <c r="I27" s="217">
        <f>'Operating Cost Estimate'!$L$67/30</f>
        <v>144477.15333333332</v>
      </c>
      <c r="J27" s="218">
        <f t="shared" si="2"/>
        <v>144477.15333333332</v>
      </c>
      <c r="K27" s="219">
        <f t="shared" si="0"/>
        <v>245962.68242849354</v>
      </c>
      <c r="L27" s="219">
        <f t="shared" si="1"/>
        <v>100431.17378364889</v>
      </c>
    </row>
    <row r="28" spans="1:12" ht="12">
      <c r="A28" s="216">
        <v>19</v>
      </c>
      <c r="B28" s="217"/>
      <c r="C28" s="217"/>
      <c r="D28" s="217"/>
      <c r="E28" s="217"/>
      <c r="F28" s="217"/>
      <c r="G28" s="217"/>
      <c r="H28" s="217"/>
      <c r="I28" s="217">
        <f>'Operating Cost Estimate'!$L$67/30</f>
        <v>144477.15333333332</v>
      </c>
      <c r="J28" s="218">
        <f t="shared" si="2"/>
        <v>144477.15333333332</v>
      </c>
      <c r="K28" s="219">
        <f t="shared" si="0"/>
        <v>253341.56290134834</v>
      </c>
      <c r="L28" s="219">
        <f t="shared" si="1"/>
        <v>98422.55030797591</v>
      </c>
    </row>
    <row r="29" spans="1:12" ht="12">
      <c r="A29" s="216">
        <v>20</v>
      </c>
      <c r="B29" s="217"/>
      <c r="C29" s="217"/>
      <c r="D29" s="217"/>
      <c r="E29" s="217"/>
      <c r="F29" s="217"/>
      <c r="G29" s="217"/>
      <c r="H29" s="217"/>
      <c r="I29" s="217">
        <f>'Operating Cost Estimate'!$L$67/30</f>
        <v>144477.15333333332</v>
      </c>
      <c r="J29" s="218">
        <f t="shared" si="2"/>
        <v>144477.15333333332</v>
      </c>
      <c r="K29" s="219">
        <f t="shared" si="0"/>
        <v>260941.80978838878</v>
      </c>
      <c r="L29" s="219">
        <f t="shared" si="1"/>
        <v>96454.0993018164</v>
      </c>
    </row>
    <row r="30" spans="1:12" ht="12">
      <c r="A30" s="216">
        <v>21</v>
      </c>
      <c r="B30" s="217"/>
      <c r="C30" s="217"/>
      <c r="D30" s="217"/>
      <c r="E30" s="217"/>
      <c r="F30" s="217"/>
      <c r="G30" s="217"/>
      <c r="H30" s="217"/>
      <c r="I30" s="217">
        <f>'Operating Cost Estimate'!$L$67/30</f>
        <v>144477.15333333332</v>
      </c>
      <c r="J30" s="218">
        <f t="shared" si="2"/>
        <v>144477.15333333332</v>
      </c>
      <c r="K30" s="219">
        <f t="shared" si="0"/>
        <v>268770.0640820404</v>
      </c>
      <c r="L30" s="219">
        <f t="shared" si="1"/>
        <v>94525.01731578006</v>
      </c>
    </row>
    <row r="31" spans="1:12" ht="12">
      <c r="A31" s="216">
        <v>22</v>
      </c>
      <c r="B31" s="217"/>
      <c r="C31" s="217"/>
      <c r="D31" s="217"/>
      <c r="E31" s="217"/>
      <c r="F31" s="217"/>
      <c r="G31" s="217"/>
      <c r="H31" s="217"/>
      <c r="I31" s="217">
        <f>'Operating Cost Estimate'!$L$67/30</f>
        <v>144477.15333333332</v>
      </c>
      <c r="J31" s="218">
        <f t="shared" si="2"/>
        <v>144477.15333333332</v>
      </c>
      <c r="K31" s="219">
        <f t="shared" si="0"/>
        <v>276833.16600450163</v>
      </c>
      <c r="L31" s="219">
        <f t="shared" si="1"/>
        <v>92634.51696946446</v>
      </c>
    </row>
    <row r="32" spans="1:12" ht="12">
      <c r="A32" s="216">
        <v>23</v>
      </c>
      <c r="B32" s="217"/>
      <c r="C32" s="217"/>
      <c r="D32" s="217"/>
      <c r="E32" s="217"/>
      <c r="F32" s="217"/>
      <c r="G32" s="217"/>
      <c r="H32" s="217"/>
      <c r="I32" s="217">
        <f>'Operating Cost Estimate'!$L$67/30</f>
        <v>144477.15333333332</v>
      </c>
      <c r="J32" s="218">
        <f t="shared" si="2"/>
        <v>144477.15333333332</v>
      </c>
      <c r="K32" s="219">
        <f t="shared" si="0"/>
        <v>285138.1609846367</v>
      </c>
      <c r="L32" s="219">
        <f t="shared" si="1"/>
        <v>90781.82663007516</v>
      </c>
    </row>
    <row r="33" spans="1:12" ht="12">
      <c r="A33" s="216">
        <v>24</v>
      </c>
      <c r="B33" s="217"/>
      <c r="C33" s="217"/>
      <c r="D33" s="217"/>
      <c r="E33" s="217"/>
      <c r="F33" s="217"/>
      <c r="G33" s="217"/>
      <c r="H33" s="217"/>
      <c r="I33" s="217">
        <f>'Operating Cost Estimate'!$L$67/30</f>
        <v>144477.15333333332</v>
      </c>
      <c r="J33" s="218">
        <f t="shared" si="2"/>
        <v>144477.15333333332</v>
      </c>
      <c r="K33" s="219">
        <f t="shared" si="0"/>
        <v>293692.30581417575</v>
      </c>
      <c r="L33" s="219">
        <f t="shared" si="1"/>
        <v>88966.19009747366</v>
      </c>
    </row>
    <row r="34" spans="1:12" ht="12">
      <c r="A34" s="216">
        <v>25</v>
      </c>
      <c r="B34" s="217"/>
      <c r="C34" s="217"/>
      <c r="D34" s="217"/>
      <c r="E34" s="217"/>
      <c r="F34" s="217"/>
      <c r="G34" s="217"/>
      <c r="H34" s="217"/>
      <c r="I34" s="217">
        <f>'Operating Cost Estimate'!$L$67/30</f>
        <v>144477.15333333332</v>
      </c>
      <c r="J34" s="218">
        <f t="shared" si="2"/>
        <v>144477.15333333332</v>
      </c>
      <c r="K34" s="219">
        <f t="shared" si="0"/>
        <v>302503.07498860103</v>
      </c>
      <c r="L34" s="219">
        <f t="shared" si="1"/>
        <v>87186.86629552417</v>
      </c>
    </row>
    <row r="35" spans="1:12" ht="12">
      <c r="A35" s="216">
        <v>26</v>
      </c>
      <c r="B35" s="217"/>
      <c r="C35" s="217"/>
      <c r="D35" s="217"/>
      <c r="E35" s="217"/>
      <c r="F35" s="217"/>
      <c r="G35" s="217"/>
      <c r="H35" s="217"/>
      <c r="I35" s="217">
        <f>'Operating Cost Estimate'!$L$67/30</f>
        <v>144477.15333333332</v>
      </c>
      <c r="J35" s="218">
        <f t="shared" si="2"/>
        <v>144477.15333333332</v>
      </c>
      <c r="K35" s="219">
        <f t="shared" si="0"/>
        <v>311578.1672382591</v>
      </c>
      <c r="L35" s="219">
        <f t="shared" si="1"/>
        <v>85443.1289696137</v>
      </c>
    </row>
    <row r="36" spans="1:12" ht="12">
      <c r="A36" s="216">
        <v>27</v>
      </c>
      <c r="B36" s="217"/>
      <c r="C36" s="217"/>
      <c r="D36" s="217"/>
      <c r="E36" s="217"/>
      <c r="F36" s="217"/>
      <c r="G36" s="217"/>
      <c r="H36" s="217"/>
      <c r="I36" s="217">
        <f>'Operating Cost Estimate'!$L$67/30</f>
        <v>144477.15333333332</v>
      </c>
      <c r="J36" s="218">
        <f t="shared" si="2"/>
        <v>144477.15333333332</v>
      </c>
      <c r="K36" s="219">
        <f t="shared" si="0"/>
        <v>320925.5122554069</v>
      </c>
      <c r="L36" s="219">
        <f t="shared" si="1"/>
        <v>83734.26639022141</v>
      </c>
    </row>
    <row r="37" spans="1:12" ht="12">
      <c r="A37" s="216">
        <v>28</v>
      </c>
      <c r="B37" s="217"/>
      <c r="C37" s="217"/>
      <c r="D37" s="217"/>
      <c r="E37" s="217"/>
      <c r="F37" s="217"/>
      <c r="G37" s="217"/>
      <c r="H37" s="217"/>
      <c r="I37" s="217">
        <f>'Operating Cost Estimate'!$L$67/30</f>
        <v>144477.15333333332</v>
      </c>
      <c r="J37" s="218">
        <f t="shared" si="2"/>
        <v>144477.15333333332</v>
      </c>
      <c r="K37" s="219">
        <f t="shared" si="0"/>
        <v>330553.27762306907</v>
      </c>
      <c r="L37" s="219">
        <f t="shared" si="1"/>
        <v>82059.58106241698</v>
      </c>
    </row>
    <row r="38" spans="1:12" ht="12">
      <c r="A38" s="216">
        <v>29</v>
      </c>
      <c r="B38" s="217"/>
      <c r="C38" s="217"/>
      <c r="D38" s="217"/>
      <c r="E38" s="217"/>
      <c r="F38" s="217"/>
      <c r="G38" s="217"/>
      <c r="H38" s="217">
        <f>'Operating Cost Estimate'!$L$62</f>
        <v>770000</v>
      </c>
      <c r="I38" s="217">
        <f>'Operating Cost Estimate'!$L$67/30</f>
        <v>144477.15333333332</v>
      </c>
      <c r="J38" s="218">
        <f t="shared" si="2"/>
        <v>914477.1533333333</v>
      </c>
      <c r="K38" s="219">
        <f t="shared" si="0"/>
        <v>2155025.315578982</v>
      </c>
      <c r="L38" s="219">
        <f t="shared" si="1"/>
        <v>509013.2118130832</v>
      </c>
    </row>
    <row r="39" spans="1:12" ht="12">
      <c r="A39" s="214" t="s">
        <v>99</v>
      </c>
      <c r="B39" s="215">
        <f aca="true" t="shared" si="3" ref="B39:L39">SUM(B9:B38)</f>
        <v>3599371.16</v>
      </c>
      <c r="C39" s="215">
        <f t="shared" si="3"/>
        <v>2978497.83</v>
      </c>
      <c r="D39" s="215">
        <f t="shared" si="3"/>
        <v>12490731.792000003</v>
      </c>
      <c r="E39" s="215">
        <f t="shared" si="3"/>
        <v>1118.04</v>
      </c>
      <c r="F39" s="215">
        <f t="shared" si="3"/>
        <v>327268.48</v>
      </c>
      <c r="G39" s="215">
        <f t="shared" si="3"/>
        <v>10059033.6</v>
      </c>
      <c r="H39" s="215">
        <f t="shared" si="3"/>
        <v>770000</v>
      </c>
      <c r="I39" s="215">
        <f t="shared" si="3"/>
        <v>4334314.6</v>
      </c>
      <c r="J39" s="215">
        <f t="shared" si="3"/>
        <v>34560335.50199999</v>
      </c>
      <c r="K39" s="215">
        <f t="shared" si="3"/>
        <v>41448320.03497654</v>
      </c>
      <c r="L39" s="215">
        <f t="shared" si="3"/>
        <v>31221424.343934856</v>
      </c>
    </row>
    <row r="40" ht="12">
      <c r="I40" s="203"/>
    </row>
    <row r="41" spans="2:12" ht="12">
      <c r="B41" s="203"/>
      <c r="C41" s="203"/>
      <c r="D41" s="203"/>
      <c r="E41" s="205"/>
      <c r="F41" s="203"/>
      <c r="G41" s="203"/>
      <c r="H41" s="203"/>
      <c r="I41" s="203"/>
      <c r="J41" s="203"/>
      <c r="L41" s="204"/>
    </row>
    <row r="42" spans="1:10" ht="12">
      <c r="A42" s="203"/>
      <c r="B42" s="203"/>
      <c r="C42" s="203"/>
      <c r="D42" s="203"/>
      <c r="E42" s="203"/>
      <c r="F42" s="203"/>
      <c r="G42" s="203"/>
      <c r="H42" s="203"/>
      <c r="I42" s="203"/>
      <c r="J42" s="203"/>
    </row>
    <row r="43" spans="1:10" ht="12">
      <c r="A43" s="203"/>
      <c r="B43" s="203"/>
      <c r="C43" s="203"/>
      <c r="D43" s="203"/>
      <c r="E43" s="203"/>
      <c r="F43" s="203"/>
      <c r="G43" s="203"/>
      <c r="H43" s="203"/>
      <c r="I43" s="203"/>
      <c r="J43" s="205"/>
    </row>
    <row r="44" spans="1:10" ht="12">
      <c r="A44" s="220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0" ht="12">
      <c r="A45" s="203"/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12">
      <c r="A46" s="203"/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0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</row>
    <row r="49" spans="1:10" ht="12">
      <c r="A49" s="203"/>
      <c r="B49" s="203"/>
      <c r="C49" s="203"/>
      <c r="D49" s="203"/>
      <c r="E49" s="203"/>
      <c r="F49" s="203"/>
      <c r="G49" s="203"/>
      <c r="H49" s="203"/>
      <c r="I49" s="203"/>
      <c r="J49" s="203"/>
    </row>
    <row r="50" spans="1:10" ht="12">
      <c r="A50" s="203"/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 ht="12">
      <c r="A51" s="203"/>
      <c r="B51" s="203"/>
      <c r="C51" s="203"/>
      <c r="D51" s="203"/>
      <c r="E51" s="203"/>
      <c r="F51" s="203"/>
      <c r="G51" s="203"/>
      <c r="H51" s="203"/>
      <c r="I51" s="203"/>
      <c r="J51" s="203"/>
    </row>
    <row r="52" spans="1:10" ht="12">
      <c r="A52" s="203"/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10" ht="12">
      <c r="A53" s="203"/>
      <c r="B53" s="203"/>
      <c r="C53" s="203"/>
      <c r="D53" s="203"/>
      <c r="E53" s="203"/>
      <c r="F53" s="203"/>
      <c r="G53" s="203"/>
      <c r="H53" s="203"/>
      <c r="I53" s="203"/>
      <c r="J53" s="203"/>
    </row>
    <row r="54" spans="1:10" ht="12">
      <c r="A54" s="203"/>
      <c r="B54" s="203"/>
      <c r="C54" s="203"/>
      <c r="D54" s="203"/>
      <c r="E54" s="203"/>
      <c r="F54" s="203"/>
      <c r="G54" s="203"/>
      <c r="H54" s="203"/>
      <c r="I54" s="203"/>
      <c r="J54" s="203"/>
    </row>
    <row r="55" spans="1:10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2">
      <c r="A56" s="203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2">
      <c r="A57" s="203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2">
      <c r="A58" s="203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2">
      <c r="A59" s="203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2">
      <c r="A60" s="203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2">
      <c r="A61" s="203"/>
      <c r="B61" s="203"/>
      <c r="C61" s="203"/>
      <c r="D61" s="203"/>
      <c r="E61" s="203"/>
      <c r="F61" s="203"/>
      <c r="G61" s="203"/>
      <c r="H61" s="203"/>
      <c r="I61" s="203"/>
      <c r="J61" s="205"/>
    </row>
    <row r="62" spans="1:10" ht="12">
      <c r="A62" s="203"/>
      <c r="B62" s="203"/>
      <c r="C62" s="203"/>
      <c r="D62" s="203"/>
      <c r="E62" s="203"/>
      <c r="F62" s="203"/>
      <c r="G62" s="203"/>
      <c r="H62" s="203"/>
      <c r="I62" s="203"/>
      <c r="J62" s="205"/>
    </row>
    <row r="63" spans="1:10" ht="12">
      <c r="A63" s="203"/>
      <c r="B63" s="203"/>
      <c r="C63" s="203"/>
      <c r="D63" s="203"/>
      <c r="E63" s="203"/>
      <c r="F63" s="203"/>
      <c r="G63" s="203"/>
      <c r="H63" s="203"/>
      <c r="I63" s="203"/>
      <c r="J63" s="205"/>
    </row>
    <row r="64" spans="1:10" ht="12">
      <c r="A64" s="203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2">
      <c r="A65" s="203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2">
      <c r="A66" s="203"/>
      <c r="B66" s="203"/>
      <c r="C66" s="203"/>
      <c r="D66" s="203"/>
      <c r="E66" s="203"/>
      <c r="F66" s="203"/>
      <c r="G66" s="203"/>
      <c r="H66" s="203"/>
      <c r="I66" s="203"/>
      <c r="J66" s="205"/>
    </row>
    <row r="67" spans="1:10" ht="12">
      <c r="A67" s="203"/>
      <c r="B67" s="203"/>
      <c r="C67" s="203"/>
      <c r="D67" s="203"/>
      <c r="E67" s="203"/>
      <c r="F67" s="203"/>
      <c r="G67" s="203"/>
      <c r="H67" s="203"/>
      <c r="I67" s="203"/>
      <c r="J67" s="205"/>
    </row>
    <row r="68" spans="1:10" ht="12">
      <c r="A68" s="203"/>
      <c r="B68" s="203"/>
      <c r="C68" s="203"/>
      <c r="D68" s="203"/>
      <c r="E68" s="203"/>
      <c r="F68" s="203"/>
      <c r="G68" s="203"/>
      <c r="H68" s="203"/>
      <c r="I68" s="203"/>
      <c r="J68" s="205"/>
    </row>
    <row r="69" spans="1:10" ht="12">
      <c r="A69" s="203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2">
      <c r="A70" s="203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2">
      <c r="A71" s="203"/>
      <c r="B71" s="203"/>
      <c r="C71" s="203"/>
      <c r="D71" s="203"/>
      <c r="E71" s="203"/>
      <c r="F71" s="203"/>
      <c r="G71" s="203"/>
      <c r="H71" s="203"/>
      <c r="I71" s="203"/>
      <c r="J71" s="205"/>
    </row>
    <row r="72" spans="1:10" ht="12">
      <c r="A72" s="203"/>
      <c r="B72" s="203"/>
      <c r="C72" s="203"/>
      <c r="D72" s="203"/>
      <c r="E72" s="203"/>
      <c r="F72" s="203"/>
      <c r="G72" s="203"/>
      <c r="H72" s="203"/>
      <c r="I72" s="203"/>
      <c r="J72" s="205"/>
    </row>
    <row r="73" spans="1:10" ht="12">
      <c r="A73" s="203"/>
      <c r="B73" s="203"/>
      <c r="C73" s="203"/>
      <c r="D73" s="203"/>
      <c r="E73" s="203"/>
      <c r="F73" s="203"/>
      <c r="G73" s="203"/>
      <c r="H73" s="203"/>
      <c r="J73" s="205"/>
    </row>
    <row r="79" ht="12">
      <c r="I79" s="206"/>
    </row>
    <row r="80" spans="7:8" ht="12">
      <c r="G80" s="206"/>
      <c r="H80" s="206"/>
    </row>
    <row r="82" ht="4.5" customHeight="1"/>
    <row r="84" ht="4.5" customHeight="1"/>
    <row r="86" ht="4.5" customHeight="1"/>
    <row r="88" ht="4.5" customHeight="1"/>
    <row r="92" ht="4.5" customHeight="1"/>
    <row r="96" ht="4.5" customHeight="1"/>
    <row r="101" ht="12">
      <c r="F101" s="207"/>
    </row>
    <row r="102" ht="12">
      <c r="F102" s="207"/>
    </row>
    <row r="103" ht="12">
      <c r="F103" s="207"/>
    </row>
    <row r="109" ht="4.5" customHeight="1"/>
    <row r="113" ht="4.5" customHeight="1"/>
    <row r="114" spans="2:3" ht="12">
      <c r="B114" s="208"/>
      <c r="C114" s="208"/>
    </row>
  </sheetData>
  <mergeCells count="6">
    <mergeCell ref="B3:J3"/>
    <mergeCell ref="A6:A8"/>
    <mergeCell ref="B6:I6"/>
    <mergeCell ref="J6:J8"/>
    <mergeCell ref="B7:F7"/>
    <mergeCell ref="G7:I7"/>
  </mergeCells>
  <hyperlinks>
    <hyperlink ref="K9" r:id="rId1" display="=@npv(L8,K9)"/>
    <hyperlink ref="L9" r:id="rId2" display="=@npv(L8,K9)"/>
    <hyperlink ref="K10:K38" r:id="rId3" display="=@npv(L8,K9)"/>
    <hyperlink ref="L10:L38" r:id="rId4" display="=@npv(L8,K9)"/>
  </hyperlinks>
  <printOptions/>
  <pageMargins left="0.75" right="0.75" top="1" bottom="1" header="0.5" footer="0.5"/>
  <pageSetup fitToHeight="1" fitToWidth="1" horizontalDpi="600" verticalDpi="600" orientation="landscape" scale="81" r:id="rId5"/>
  <headerFooter alignWithMargins="0">
    <oddFooter>&amp;L&amp;"Braggadocio,Regular"CSP&amp;X2&amp;RPage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9" sqref="D19"/>
    </sheetView>
  </sheetViews>
  <sheetFormatPr defaultColWidth="9.140625" defaultRowHeight="12.75"/>
  <cols>
    <col min="1" max="1" width="15.421875" style="198" customWidth="1"/>
    <col min="2" max="3" width="11.7109375" style="198" customWidth="1"/>
    <col min="4" max="5" width="12.7109375" style="198" customWidth="1"/>
    <col min="6" max="6" width="11.7109375" style="198" bestFit="1" customWidth="1"/>
    <col min="7" max="9" width="11.7109375" style="198" customWidth="1"/>
    <col min="10" max="10" width="14.28125" style="198" customWidth="1"/>
    <col min="11" max="12" width="12.7109375" style="198" bestFit="1" customWidth="1"/>
    <col min="13" max="155" width="11.00390625" style="198" bestFit="1" customWidth="1"/>
    <col min="156" max="156" width="12.00390625" style="198" bestFit="1" customWidth="1"/>
    <col min="157" max="16384" width="8.00390625" style="198" customWidth="1"/>
  </cols>
  <sheetData>
    <row r="1" spans="1:10" ht="12">
      <c r="A1" s="195"/>
      <c r="B1" s="196" t="s">
        <v>201</v>
      </c>
      <c r="C1" s="196"/>
      <c r="D1" s="197"/>
      <c r="E1" s="197"/>
      <c r="F1" s="197"/>
      <c r="G1" s="197"/>
      <c r="H1" s="197"/>
      <c r="I1" s="197"/>
      <c r="J1" s="197"/>
    </row>
    <row r="2" spans="2:10" ht="12">
      <c r="B2" s="196" t="s">
        <v>163</v>
      </c>
      <c r="C2" s="196"/>
      <c r="D2" s="197"/>
      <c r="E2" s="197"/>
      <c r="F2" s="197"/>
      <c r="G2" s="197"/>
      <c r="H2" s="197"/>
      <c r="I2" s="197"/>
      <c r="J2" s="197"/>
    </row>
    <row r="3" spans="2:10" ht="12">
      <c r="B3" s="537" t="s">
        <v>649</v>
      </c>
      <c r="C3" s="537"/>
      <c r="D3" s="538"/>
      <c r="E3" s="538"/>
      <c r="F3" s="538"/>
      <c r="G3" s="538"/>
      <c r="H3" s="538"/>
      <c r="I3" s="538"/>
      <c r="J3" s="538"/>
    </row>
    <row r="4" spans="2:10" ht="12">
      <c r="B4" s="196"/>
      <c r="C4" s="196"/>
      <c r="D4" s="197"/>
      <c r="E4" s="197"/>
      <c r="F4" s="197"/>
      <c r="G4" s="197"/>
      <c r="H4" s="197"/>
      <c r="I4" s="197"/>
      <c r="J4" s="197"/>
    </row>
    <row r="6" spans="1:12" ht="12">
      <c r="A6" s="539" t="s">
        <v>97</v>
      </c>
      <c r="B6" s="541" t="s">
        <v>164</v>
      </c>
      <c r="C6" s="541"/>
      <c r="D6" s="541"/>
      <c r="E6" s="541"/>
      <c r="F6" s="541"/>
      <c r="G6" s="542"/>
      <c r="H6" s="542"/>
      <c r="I6" s="542"/>
      <c r="J6" s="543" t="s">
        <v>100</v>
      </c>
      <c r="K6" s="199" t="s">
        <v>165</v>
      </c>
      <c r="L6" s="200" t="s">
        <v>166</v>
      </c>
    </row>
    <row r="7" spans="1:12" ht="12">
      <c r="A7" s="540"/>
      <c r="B7" s="542" t="s">
        <v>95</v>
      </c>
      <c r="C7" s="542"/>
      <c r="D7" s="542"/>
      <c r="E7" s="542"/>
      <c r="F7" s="542"/>
      <c r="G7" s="545" t="s">
        <v>96</v>
      </c>
      <c r="H7" s="546"/>
      <c r="I7" s="547"/>
      <c r="J7" s="544"/>
      <c r="K7" s="201" t="s">
        <v>167</v>
      </c>
      <c r="L7" s="202" t="s">
        <v>168</v>
      </c>
    </row>
    <row r="8" spans="1:12" ht="36">
      <c r="A8" s="540"/>
      <c r="B8" s="209" t="s">
        <v>194</v>
      </c>
      <c r="C8" s="210" t="s">
        <v>267</v>
      </c>
      <c r="D8" s="211" t="s">
        <v>172</v>
      </c>
      <c r="E8" s="209" t="s">
        <v>32</v>
      </c>
      <c r="F8" s="209" t="s">
        <v>98</v>
      </c>
      <c r="G8" s="210" t="s">
        <v>169</v>
      </c>
      <c r="H8" s="209" t="s">
        <v>170</v>
      </c>
      <c r="I8" s="209" t="s">
        <v>171</v>
      </c>
      <c r="J8" s="544"/>
      <c r="K8" s="212">
        <v>0.03</v>
      </c>
      <c r="L8" s="213">
        <v>0.05</v>
      </c>
    </row>
    <row r="9" spans="1:12" ht="12">
      <c r="A9" s="216">
        <v>0</v>
      </c>
      <c r="B9" s="217"/>
      <c r="C9" s="217">
        <f>'Capital Cost Estimate'!$AA$561/2</f>
        <v>1489248.915</v>
      </c>
      <c r="D9" s="217">
        <f>'Capital Cost Estimate'!$AA$578/7</f>
        <v>1784390.2560000003</v>
      </c>
      <c r="E9" s="217"/>
      <c r="F9" s="217"/>
      <c r="G9" s="217">
        <f>'Operating Cost Estimate'!$N$61/50</f>
        <v>1002540</v>
      </c>
      <c r="H9" s="217"/>
      <c r="I9" s="217">
        <f>'Operating Cost Estimate'!$N$67/70</f>
        <v>115158.78</v>
      </c>
      <c r="J9" s="218">
        <f>SUM(B9:I9)</f>
        <v>4391337.951</v>
      </c>
      <c r="K9" s="219">
        <f aca="true" t="shared" si="0" ref="K9:K40">($J9*((1+K$8)^A9))</f>
        <v>4391337.951</v>
      </c>
      <c r="L9" s="219">
        <f aca="true" t="shared" si="1" ref="L9:L40">J9*((1+K$8-L$8)^A9)</f>
        <v>4391337.951</v>
      </c>
    </row>
    <row r="10" spans="1:12" ht="12">
      <c r="A10" s="216">
        <f>1+A9</f>
        <v>1</v>
      </c>
      <c r="B10" s="217">
        <f>'Capital Cost Estimate'!$AA$551/4</f>
        <v>899842.79</v>
      </c>
      <c r="C10" s="217">
        <f>'Capital Cost Estimate'!$AA$561/2</f>
        <v>1489248.915</v>
      </c>
      <c r="D10" s="217">
        <f>'Capital Cost Estimate'!$AA$578/7</f>
        <v>1784390.2560000003</v>
      </c>
      <c r="E10" s="217"/>
      <c r="F10" s="217">
        <f>'Capital Cost Estimate'!$AA$584/50</f>
        <v>31185.369599999998</v>
      </c>
      <c r="G10" s="217">
        <f>'Operating Cost Estimate'!$N$61/50</f>
        <v>1002540</v>
      </c>
      <c r="H10" s="217"/>
      <c r="I10" s="217">
        <f>'Operating Cost Estimate'!$N$67/70</f>
        <v>115158.78</v>
      </c>
      <c r="J10" s="218">
        <f>SUM(B10:I10)</f>
        <v>5322366.1106</v>
      </c>
      <c r="K10" s="219">
        <f t="shared" si="0"/>
        <v>5482037.093918</v>
      </c>
      <c r="L10" s="219">
        <f t="shared" si="1"/>
        <v>5215918.788388</v>
      </c>
    </row>
    <row r="11" spans="1:12" ht="12">
      <c r="A11" s="216">
        <f>1+A10</f>
        <v>2</v>
      </c>
      <c r="B11" s="217">
        <f>'Capital Cost Estimate'!$AA$551/4</f>
        <v>899842.79</v>
      </c>
      <c r="C11" s="217"/>
      <c r="D11" s="217">
        <f>'Capital Cost Estimate'!$AA$578/7</f>
        <v>1784390.2560000003</v>
      </c>
      <c r="E11" s="217"/>
      <c r="F11" s="217">
        <f>'Capital Cost Estimate'!$AA$584/50</f>
        <v>31185.369599999998</v>
      </c>
      <c r="G11" s="217">
        <f>'Operating Cost Estimate'!$N$61/50</f>
        <v>1002540</v>
      </c>
      <c r="H11" s="217"/>
      <c r="I11" s="217">
        <f>'Operating Cost Estimate'!$N$67/70</f>
        <v>115158.78</v>
      </c>
      <c r="J11" s="218">
        <f aca="true" t="shared" si="2" ref="J11:J38">SUM(B11:I11)</f>
        <v>3833117.1955999997</v>
      </c>
      <c r="K11" s="219">
        <f t="shared" si="0"/>
        <v>4066554.0328120394</v>
      </c>
      <c r="L11" s="219">
        <f t="shared" si="1"/>
        <v>3681325.7546542394</v>
      </c>
    </row>
    <row r="12" spans="1:12" ht="12">
      <c r="A12" s="216">
        <v>3</v>
      </c>
      <c r="B12" s="217">
        <f>'Capital Cost Estimate'!$AA$551/4</f>
        <v>899842.79</v>
      </c>
      <c r="C12" s="217"/>
      <c r="D12" s="217">
        <f>'Capital Cost Estimate'!$AA$578/7</f>
        <v>1784390.2560000003</v>
      </c>
      <c r="E12" s="217"/>
      <c r="F12" s="217">
        <f>'Capital Cost Estimate'!$AA$584/50</f>
        <v>31185.369599999998</v>
      </c>
      <c r="G12" s="217">
        <f>'Operating Cost Estimate'!$N$61/50</f>
        <v>1002540</v>
      </c>
      <c r="H12" s="217"/>
      <c r="I12" s="217">
        <f>'Operating Cost Estimate'!$N$67/70</f>
        <v>115158.78</v>
      </c>
      <c r="J12" s="218">
        <f t="shared" si="2"/>
        <v>3833117.1955999997</v>
      </c>
      <c r="K12" s="219">
        <f t="shared" si="0"/>
        <v>4188550.653796401</v>
      </c>
      <c r="L12" s="219">
        <f t="shared" si="1"/>
        <v>3607699.2395611545</v>
      </c>
    </row>
    <row r="13" spans="1:12" ht="12">
      <c r="A13" s="216">
        <v>4</v>
      </c>
      <c r="B13" s="217">
        <f>'Capital Cost Estimate'!$AA$551/4</f>
        <v>899842.79</v>
      </c>
      <c r="C13" s="217"/>
      <c r="D13" s="217">
        <f>'Capital Cost Estimate'!$AA$578/7</f>
        <v>1784390.2560000003</v>
      </c>
      <c r="E13" s="217">
        <f>'Capital Cost Estimate'!$AA$583</f>
        <v>1118.04</v>
      </c>
      <c r="F13" s="217">
        <f>'Capital Cost Estimate'!$AA$584/50</f>
        <v>31185.369599999998</v>
      </c>
      <c r="G13" s="217">
        <f>'Operating Cost Estimate'!$N$61/50</f>
        <v>1002540</v>
      </c>
      <c r="H13" s="217"/>
      <c r="I13" s="217">
        <f>'Operating Cost Estimate'!$N$67/70</f>
        <v>115158.78</v>
      </c>
      <c r="J13" s="218">
        <f t="shared" si="2"/>
        <v>3834235.2356</v>
      </c>
      <c r="K13" s="219">
        <f t="shared" si="0"/>
        <v>4315465.537280225</v>
      </c>
      <c r="L13" s="219">
        <f t="shared" si="1"/>
        <v>3536576.4992675376</v>
      </c>
    </row>
    <row r="14" spans="1:12" ht="12">
      <c r="A14" s="216">
        <v>5</v>
      </c>
      <c r="C14" s="217"/>
      <c r="D14" s="217">
        <f>'Capital Cost Estimate'!$AA$578/7</f>
        <v>1784390.2560000003</v>
      </c>
      <c r="E14" s="217"/>
      <c r="F14" s="217">
        <f>'Capital Cost Estimate'!$AA$584/50</f>
        <v>31185.369599999998</v>
      </c>
      <c r="G14" s="217">
        <f>'Operating Cost Estimate'!$N$61/50</f>
        <v>1002540</v>
      </c>
      <c r="H14" s="217"/>
      <c r="I14" s="217">
        <f>'Operating Cost Estimate'!$N$67/70</f>
        <v>115158.78</v>
      </c>
      <c r="J14" s="218">
        <f t="shared" si="2"/>
        <v>2933274.4056</v>
      </c>
      <c r="K14" s="219">
        <f t="shared" si="0"/>
        <v>3400468.9712198223</v>
      </c>
      <c r="L14" s="219">
        <f t="shared" si="1"/>
        <v>2651447.737942998</v>
      </c>
    </row>
    <row r="15" spans="1:12" ht="12">
      <c r="A15" s="216">
        <v>6</v>
      </c>
      <c r="B15" s="217"/>
      <c r="C15" s="217"/>
      <c r="D15" s="217"/>
      <c r="E15" s="217"/>
      <c r="F15" s="217">
        <f>'Capital Cost Estimate'!$AA$584/50</f>
        <v>31185.369599999998</v>
      </c>
      <c r="G15" s="217">
        <f>'Operating Cost Estimate'!$N$61/50</f>
        <v>1002540</v>
      </c>
      <c r="H15" s="217"/>
      <c r="I15" s="217">
        <f>'Operating Cost Estimate'!$N$67/70</f>
        <v>115158.78</v>
      </c>
      <c r="J15" s="218">
        <f t="shared" si="2"/>
        <v>1148884.1496</v>
      </c>
      <c r="K15" s="219">
        <f t="shared" si="0"/>
        <v>1371827.757275647</v>
      </c>
      <c r="L15" s="219">
        <f t="shared" si="1"/>
        <v>1017730.2704185756</v>
      </c>
    </row>
    <row r="16" spans="1:12" ht="12">
      <c r="A16" s="216">
        <v>7</v>
      </c>
      <c r="B16" s="217"/>
      <c r="C16" s="217"/>
      <c r="D16" s="217"/>
      <c r="E16" s="217"/>
      <c r="F16" s="217">
        <f>'Capital Cost Estimate'!$AA$584/50</f>
        <v>31185.369599999998</v>
      </c>
      <c r="G16" s="217">
        <f>'Operating Cost Estimate'!$N$61/50</f>
        <v>1002540</v>
      </c>
      <c r="H16" s="217"/>
      <c r="I16" s="217">
        <f>'Operating Cost Estimate'!$N$67/70</f>
        <v>115158.78</v>
      </c>
      <c r="J16" s="218">
        <f t="shared" si="2"/>
        <v>1148884.1496</v>
      </c>
      <c r="K16" s="219">
        <f t="shared" si="0"/>
        <v>1412982.5899939165</v>
      </c>
      <c r="L16" s="219">
        <f t="shared" si="1"/>
        <v>997375.6650102041</v>
      </c>
    </row>
    <row r="17" spans="1:12" ht="12">
      <c r="A17" s="216">
        <v>8</v>
      </c>
      <c r="B17" s="217"/>
      <c r="C17" s="217"/>
      <c r="D17" s="217"/>
      <c r="E17" s="217"/>
      <c r="F17" s="217">
        <f>'Capital Cost Estimate'!$AA$584/50</f>
        <v>31185.369599999998</v>
      </c>
      <c r="G17" s="217">
        <f>'Operating Cost Estimate'!$N$61/50</f>
        <v>1002540</v>
      </c>
      <c r="H17" s="217"/>
      <c r="I17" s="217">
        <f>'Operating Cost Estimate'!$N$67/70</f>
        <v>115158.78</v>
      </c>
      <c r="J17" s="218">
        <f t="shared" si="2"/>
        <v>1148884.1496</v>
      </c>
      <c r="K17" s="219">
        <f t="shared" si="0"/>
        <v>1455372.0676937338</v>
      </c>
      <c r="L17" s="219">
        <f t="shared" si="1"/>
        <v>977428.15171</v>
      </c>
    </row>
    <row r="18" spans="1:12" ht="12">
      <c r="A18" s="216">
        <v>9</v>
      </c>
      <c r="B18" s="217"/>
      <c r="C18" s="217"/>
      <c r="D18" s="217"/>
      <c r="E18" s="217"/>
      <c r="F18" s="217">
        <f>'Capital Cost Estimate'!$AA$584/50</f>
        <v>31185.369599999998</v>
      </c>
      <c r="G18" s="217">
        <f>'Operating Cost Estimate'!$N$61/50</f>
        <v>1002540</v>
      </c>
      <c r="H18" s="217"/>
      <c r="I18" s="217">
        <f>'Operating Cost Estimate'!$N$67/70+'Operating Cost Estimate'!$N$50+'Operating Cost Estimate'!$N$53</f>
        <v>2768658.7800000003</v>
      </c>
      <c r="J18" s="218">
        <f t="shared" si="2"/>
        <v>3802384.1496</v>
      </c>
      <c r="K18" s="219">
        <f t="shared" si="0"/>
        <v>4961248.873015447</v>
      </c>
      <c r="L18" s="219">
        <f t="shared" si="1"/>
        <v>3170229.275488152</v>
      </c>
    </row>
    <row r="19" spans="1:12" ht="12">
      <c r="A19" s="216">
        <v>10</v>
      </c>
      <c r="B19" s="217"/>
      <c r="C19" s="217"/>
      <c r="D19" s="217"/>
      <c r="E19" s="217"/>
      <c r="F19" s="217">
        <f>'Capital Cost Estimate'!$AA$584/50</f>
        <v>31185.369599999998</v>
      </c>
      <c r="G19" s="217">
        <f>'Operating Cost Estimate'!$N$61/50</f>
        <v>1002540</v>
      </c>
      <c r="H19" s="217"/>
      <c r="I19" s="217">
        <f>'Operating Cost Estimate'!$N$67/70</f>
        <v>115158.78</v>
      </c>
      <c r="J19" s="218">
        <f t="shared" si="2"/>
        <v>1148884.1496</v>
      </c>
      <c r="K19" s="219">
        <f t="shared" si="0"/>
        <v>1544004.2266162822</v>
      </c>
      <c r="L19" s="219">
        <f t="shared" si="1"/>
        <v>938721.9969022839</v>
      </c>
    </row>
    <row r="20" spans="1:12" ht="12">
      <c r="A20" s="216">
        <v>11</v>
      </c>
      <c r="B20" s="217"/>
      <c r="C20" s="217"/>
      <c r="D20" s="217"/>
      <c r="E20" s="217"/>
      <c r="F20" s="217">
        <f>'Capital Cost Estimate'!$AA$584/50</f>
        <v>31185.369599999998</v>
      </c>
      <c r="G20" s="217">
        <f>'Operating Cost Estimate'!$N$61/50</f>
        <v>1002540</v>
      </c>
      <c r="H20" s="217"/>
      <c r="I20" s="217">
        <f>'Operating Cost Estimate'!$N$67/70</f>
        <v>115158.78</v>
      </c>
      <c r="J20" s="218">
        <f t="shared" si="2"/>
        <v>1148884.1496</v>
      </c>
      <c r="K20" s="219">
        <f t="shared" si="0"/>
        <v>1590324.3534147707</v>
      </c>
      <c r="L20" s="219">
        <f t="shared" si="1"/>
        <v>919947.5569642382</v>
      </c>
    </row>
    <row r="21" spans="1:12" ht="12">
      <c r="A21" s="216">
        <v>12</v>
      </c>
      <c r="B21" s="217"/>
      <c r="C21" s="217"/>
      <c r="D21" s="217"/>
      <c r="E21" s="217"/>
      <c r="F21" s="217">
        <f>'Capital Cost Estimate'!$AA$584/50</f>
        <v>31185.369599999998</v>
      </c>
      <c r="G21" s="217">
        <f>'Operating Cost Estimate'!$N$61/50</f>
        <v>1002540</v>
      </c>
      <c r="H21" s="217"/>
      <c r="I21" s="217">
        <f>'Operating Cost Estimate'!$N$67/70</f>
        <v>115158.78</v>
      </c>
      <c r="J21" s="218">
        <f t="shared" si="2"/>
        <v>1148884.1496</v>
      </c>
      <c r="K21" s="219">
        <f t="shared" si="0"/>
        <v>1638034.0840172137</v>
      </c>
      <c r="L21" s="219">
        <f t="shared" si="1"/>
        <v>901548.6058249534</v>
      </c>
    </row>
    <row r="22" spans="1:12" ht="12">
      <c r="A22" s="216">
        <v>13</v>
      </c>
      <c r="B22" s="217"/>
      <c r="C22" s="217"/>
      <c r="D22" s="217"/>
      <c r="E22" s="217"/>
      <c r="F22" s="217">
        <f>'Capital Cost Estimate'!$AA$584/50</f>
        <v>31185.369599999998</v>
      </c>
      <c r="G22" s="217">
        <f>'Operating Cost Estimate'!$N$61/50</f>
        <v>1002540</v>
      </c>
      <c r="H22" s="217"/>
      <c r="I22" s="217">
        <f>'Operating Cost Estimate'!$N$67/70</f>
        <v>115158.78</v>
      </c>
      <c r="J22" s="218">
        <f t="shared" si="2"/>
        <v>1148884.1496</v>
      </c>
      <c r="K22" s="219">
        <f t="shared" si="0"/>
        <v>1687175.10653773</v>
      </c>
      <c r="L22" s="219">
        <f t="shared" si="1"/>
        <v>883517.6337084543</v>
      </c>
    </row>
    <row r="23" spans="1:12" ht="12">
      <c r="A23" s="216">
        <v>14</v>
      </c>
      <c r="B23" s="217"/>
      <c r="C23" s="217"/>
      <c r="D23" s="217"/>
      <c r="E23" s="217"/>
      <c r="F23" s="217">
        <f>'Capital Cost Estimate'!$AA$584/50</f>
        <v>31185.369599999998</v>
      </c>
      <c r="G23" s="217">
        <f>'Operating Cost Estimate'!$N$61/50</f>
        <v>1002540</v>
      </c>
      <c r="H23" s="217"/>
      <c r="I23" s="217">
        <f>'Operating Cost Estimate'!$N$67/70</f>
        <v>115158.78</v>
      </c>
      <c r="J23" s="218">
        <f t="shared" si="2"/>
        <v>1148884.1496</v>
      </c>
      <c r="K23" s="219">
        <f t="shared" si="0"/>
        <v>1737790.359733862</v>
      </c>
      <c r="L23" s="219">
        <f t="shared" si="1"/>
        <v>865847.2810342852</v>
      </c>
    </row>
    <row r="24" spans="1:12" ht="12">
      <c r="A24" s="216">
        <v>15</v>
      </c>
      <c r="B24" s="217"/>
      <c r="C24" s="217"/>
      <c r="D24" s="217"/>
      <c r="E24" s="217"/>
      <c r="F24" s="217">
        <f>'Capital Cost Estimate'!$AA$584/50</f>
        <v>31185.369599999998</v>
      </c>
      <c r="G24" s="217">
        <f>'Operating Cost Estimate'!$N$61/50</f>
        <v>1002540</v>
      </c>
      <c r="H24" s="217"/>
      <c r="I24" s="217">
        <f>'Operating Cost Estimate'!$N$67/70</f>
        <v>115158.78</v>
      </c>
      <c r="J24" s="218">
        <f t="shared" si="2"/>
        <v>1148884.1496</v>
      </c>
      <c r="K24" s="219">
        <f t="shared" si="0"/>
        <v>1789924.0705258779</v>
      </c>
      <c r="L24" s="219">
        <f t="shared" si="1"/>
        <v>848530.3354135995</v>
      </c>
    </row>
    <row r="25" spans="1:12" ht="12">
      <c r="A25" s="216">
        <v>16</v>
      </c>
      <c r="B25" s="217"/>
      <c r="C25" s="217"/>
      <c r="D25" s="217"/>
      <c r="E25" s="217"/>
      <c r="F25" s="217">
        <f>'Capital Cost Estimate'!$AA$584/50</f>
        <v>31185.369599999998</v>
      </c>
      <c r="G25" s="217">
        <f>'Operating Cost Estimate'!$N$61/50</f>
        <v>1002540</v>
      </c>
      <c r="H25" s="217"/>
      <c r="I25" s="217">
        <f>'Operating Cost Estimate'!$N$67/70</f>
        <v>115158.78</v>
      </c>
      <c r="J25" s="218">
        <f t="shared" si="2"/>
        <v>1148884.1496</v>
      </c>
      <c r="K25" s="219">
        <f t="shared" si="0"/>
        <v>1843621.792641654</v>
      </c>
      <c r="L25" s="219">
        <f t="shared" si="1"/>
        <v>831559.7287053275</v>
      </c>
    </row>
    <row r="26" spans="1:12" ht="12">
      <c r="A26" s="216">
        <v>17</v>
      </c>
      <c r="B26" s="217"/>
      <c r="C26" s="217"/>
      <c r="D26" s="217"/>
      <c r="E26" s="217"/>
      <c r="F26" s="217">
        <f>'Capital Cost Estimate'!$AA$584/50</f>
        <v>31185.369599999998</v>
      </c>
      <c r="G26" s="217">
        <f>'Operating Cost Estimate'!$N$61/50</f>
        <v>1002540</v>
      </c>
      <c r="H26" s="217"/>
      <c r="I26" s="217">
        <f>'Operating Cost Estimate'!$N$67/70</f>
        <v>115158.78</v>
      </c>
      <c r="J26" s="218">
        <f t="shared" si="2"/>
        <v>1148884.1496</v>
      </c>
      <c r="K26" s="219">
        <f t="shared" si="0"/>
        <v>1898930.4464209036</v>
      </c>
      <c r="L26" s="219">
        <f t="shared" si="1"/>
        <v>814928.534131221</v>
      </c>
    </row>
    <row r="27" spans="1:12" ht="12">
      <c r="A27" s="216">
        <v>18</v>
      </c>
      <c r="B27" s="217"/>
      <c r="C27" s="217"/>
      <c r="D27" s="217"/>
      <c r="E27" s="217"/>
      <c r="F27" s="217">
        <f>'Capital Cost Estimate'!$AA$584/50</f>
        <v>31185.369599999998</v>
      </c>
      <c r="G27" s="217">
        <f>'Operating Cost Estimate'!$N$61/50</f>
        <v>1002540</v>
      </c>
      <c r="H27" s="217"/>
      <c r="I27" s="217">
        <f>'Operating Cost Estimate'!$N$67/70</f>
        <v>115158.78</v>
      </c>
      <c r="J27" s="218">
        <f t="shared" si="2"/>
        <v>1148884.1496</v>
      </c>
      <c r="K27" s="219">
        <f t="shared" si="0"/>
        <v>1955898.3598135307</v>
      </c>
      <c r="L27" s="219">
        <f t="shared" si="1"/>
        <v>798629.9634485964</v>
      </c>
    </row>
    <row r="28" spans="1:12" ht="12">
      <c r="A28" s="216">
        <v>19</v>
      </c>
      <c r="B28" s="217"/>
      <c r="C28" s="217"/>
      <c r="D28" s="217"/>
      <c r="E28" s="217"/>
      <c r="F28" s="217">
        <f>'Capital Cost Estimate'!$AA$584/50</f>
        <v>31185.369599999998</v>
      </c>
      <c r="G28" s="217">
        <f>'Operating Cost Estimate'!$N$61/50</f>
        <v>1002540</v>
      </c>
      <c r="H28" s="217"/>
      <c r="I28" s="217">
        <f>'Operating Cost Estimate'!$N$67/70+'Operating Cost Estimate'!$N$51</f>
        <v>768658.78</v>
      </c>
      <c r="J28" s="218">
        <f t="shared" si="2"/>
        <v>1802384.1496000001</v>
      </c>
      <c r="K28" s="219">
        <f t="shared" si="0"/>
        <v>3160491.516293822</v>
      </c>
      <c r="L28" s="219">
        <f t="shared" si="1"/>
        <v>1227842.884120394</v>
      </c>
    </row>
    <row r="29" spans="1:12" ht="12">
      <c r="A29" s="216">
        <v>20</v>
      </c>
      <c r="B29" s="217"/>
      <c r="C29" s="217"/>
      <c r="D29" s="217"/>
      <c r="E29" s="217"/>
      <c r="F29" s="217">
        <f>'Capital Cost Estimate'!$AA$584/50</f>
        <v>31185.369599999998</v>
      </c>
      <c r="G29" s="217">
        <f>'Operating Cost Estimate'!$N$61/50</f>
        <v>1002540</v>
      </c>
      <c r="H29" s="217"/>
      <c r="I29" s="217">
        <f>'Operating Cost Estimate'!$N$67/70</f>
        <v>115158.78</v>
      </c>
      <c r="J29" s="218">
        <f t="shared" si="2"/>
        <v>1148884.1496</v>
      </c>
      <c r="K29" s="219">
        <f t="shared" si="0"/>
        <v>2075012.5699261746</v>
      </c>
      <c r="L29" s="219">
        <f t="shared" si="1"/>
        <v>767004.2168960321</v>
      </c>
    </row>
    <row r="30" spans="1:12" ht="12">
      <c r="A30" s="216">
        <v>21</v>
      </c>
      <c r="B30" s="217"/>
      <c r="C30" s="217"/>
      <c r="D30" s="217"/>
      <c r="E30" s="217"/>
      <c r="F30" s="217">
        <f>'Capital Cost Estimate'!$AA$584/50</f>
        <v>31185.369599999998</v>
      </c>
      <c r="G30" s="217">
        <f>'Operating Cost Estimate'!$N$61/50</f>
        <v>1002540</v>
      </c>
      <c r="H30" s="217"/>
      <c r="I30" s="217">
        <f>'Operating Cost Estimate'!$N$67/70</f>
        <v>115158.78</v>
      </c>
      <c r="J30" s="218">
        <f t="shared" si="2"/>
        <v>1148884.1496</v>
      </c>
      <c r="K30" s="219">
        <f t="shared" si="0"/>
        <v>2137262.94702396</v>
      </c>
      <c r="L30" s="219">
        <f t="shared" si="1"/>
        <v>751664.1325581113</v>
      </c>
    </row>
    <row r="31" spans="1:12" ht="12">
      <c r="A31" s="216">
        <v>22</v>
      </c>
      <c r="B31" s="217"/>
      <c r="C31" s="217"/>
      <c r="D31" s="217"/>
      <c r="E31" s="217"/>
      <c r="F31" s="217">
        <f>'Capital Cost Estimate'!$AA$584/50</f>
        <v>31185.369599999998</v>
      </c>
      <c r="G31" s="217">
        <f>'Operating Cost Estimate'!$N$61/50</f>
        <v>1002540</v>
      </c>
      <c r="H31" s="217"/>
      <c r="I31" s="217">
        <f>'Operating Cost Estimate'!$N$67/70</f>
        <v>115158.78</v>
      </c>
      <c r="J31" s="218">
        <f t="shared" si="2"/>
        <v>1148884.1496</v>
      </c>
      <c r="K31" s="219">
        <f t="shared" si="0"/>
        <v>2201380.8354346785</v>
      </c>
      <c r="L31" s="219">
        <f t="shared" si="1"/>
        <v>736630.8499069491</v>
      </c>
    </row>
    <row r="32" spans="1:12" ht="12">
      <c r="A32" s="216">
        <v>23</v>
      </c>
      <c r="B32" s="217"/>
      <c r="C32" s="217"/>
      <c r="D32" s="217"/>
      <c r="E32" s="217"/>
      <c r="F32" s="217">
        <f>'Capital Cost Estimate'!$AA$584/50</f>
        <v>31185.369599999998</v>
      </c>
      <c r="G32" s="217">
        <f>'Operating Cost Estimate'!$N$61/50</f>
        <v>1002540</v>
      </c>
      <c r="H32" s="217"/>
      <c r="I32" s="217">
        <f>'Operating Cost Estimate'!$N$67/70</f>
        <v>115158.78</v>
      </c>
      <c r="J32" s="218">
        <f t="shared" si="2"/>
        <v>1148884.1496</v>
      </c>
      <c r="K32" s="219">
        <f t="shared" si="0"/>
        <v>2267422.260497719</v>
      </c>
      <c r="L32" s="219">
        <f t="shared" si="1"/>
        <v>721898.23290881</v>
      </c>
    </row>
    <row r="33" spans="1:12" ht="12">
      <c r="A33" s="216">
        <v>24</v>
      </c>
      <c r="B33" s="217"/>
      <c r="C33" s="217"/>
      <c r="D33" s="217"/>
      <c r="E33" s="217"/>
      <c r="F33" s="217">
        <f>'Capital Cost Estimate'!$AA$584/50</f>
        <v>31185.369599999998</v>
      </c>
      <c r="G33" s="217">
        <f>'Operating Cost Estimate'!$N$61/50</f>
        <v>1002540</v>
      </c>
      <c r="H33" s="217"/>
      <c r="I33" s="217">
        <f>'Operating Cost Estimate'!$N$67/70</f>
        <v>115158.78</v>
      </c>
      <c r="J33" s="218">
        <f t="shared" si="2"/>
        <v>1148884.1496</v>
      </c>
      <c r="K33" s="219">
        <f t="shared" si="0"/>
        <v>2335444.9283126504</v>
      </c>
      <c r="L33" s="219">
        <f t="shared" si="1"/>
        <v>707460.2682506338</v>
      </c>
    </row>
    <row r="34" spans="1:12" ht="12">
      <c r="A34" s="216">
        <v>25</v>
      </c>
      <c r="B34" s="217"/>
      <c r="C34" s="217"/>
      <c r="D34" s="217"/>
      <c r="E34" s="217"/>
      <c r="F34" s="217">
        <f>'Capital Cost Estimate'!$AA$584/50</f>
        <v>31185.369599999998</v>
      </c>
      <c r="G34" s="217">
        <f>'Operating Cost Estimate'!$N$61/50</f>
        <v>1002540</v>
      </c>
      <c r="H34" s="217"/>
      <c r="I34" s="217">
        <f>'Operating Cost Estimate'!$N$67/70</f>
        <v>115158.78</v>
      </c>
      <c r="J34" s="218">
        <f t="shared" si="2"/>
        <v>1148884.1496</v>
      </c>
      <c r="K34" s="219">
        <f t="shared" si="0"/>
        <v>2405508.2761620297</v>
      </c>
      <c r="L34" s="219">
        <f t="shared" si="1"/>
        <v>693311.0628856211</v>
      </c>
    </row>
    <row r="35" spans="1:12" ht="12">
      <c r="A35" s="216">
        <v>26</v>
      </c>
      <c r="B35" s="217"/>
      <c r="C35" s="217"/>
      <c r="D35" s="217"/>
      <c r="E35" s="217"/>
      <c r="F35" s="217">
        <f>'Capital Cost Estimate'!$AA$584/50</f>
        <v>31185.369599999998</v>
      </c>
      <c r="G35" s="217">
        <f>'Operating Cost Estimate'!$N$61/50</f>
        <v>1002540</v>
      </c>
      <c r="H35" s="217"/>
      <c r="I35" s="217">
        <f>'Operating Cost Estimate'!$N$67/70</f>
        <v>115158.78</v>
      </c>
      <c r="J35" s="218">
        <f t="shared" si="2"/>
        <v>1148884.1496</v>
      </c>
      <c r="K35" s="219">
        <f t="shared" si="0"/>
        <v>2477673.524446891</v>
      </c>
      <c r="L35" s="219">
        <f t="shared" si="1"/>
        <v>679444.8416279088</v>
      </c>
    </row>
    <row r="36" spans="1:12" ht="12">
      <c r="A36" s="216">
        <v>27</v>
      </c>
      <c r="B36" s="217"/>
      <c r="C36" s="217"/>
      <c r="D36" s="217"/>
      <c r="E36" s="217"/>
      <c r="F36" s="217">
        <f>'Capital Cost Estimate'!$AA$584/50</f>
        <v>31185.369599999998</v>
      </c>
      <c r="G36" s="217">
        <f>'Operating Cost Estimate'!$N$61/50</f>
        <v>1002540</v>
      </c>
      <c r="H36" s="217"/>
      <c r="I36" s="217">
        <f>'Operating Cost Estimate'!$N$67/70</f>
        <v>115158.78</v>
      </c>
      <c r="J36" s="218">
        <f t="shared" si="2"/>
        <v>1148884.1496</v>
      </c>
      <c r="K36" s="219">
        <f t="shared" si="0"/>
        <v>2552003.7301802975</v>
      </c>
      <c r="L36" s="219">
        <f t="shared" si="1"/>
        <v>665855.9447953504</v>
      </c>
    </row>
    <row r="37" spans="1:12" ht="12">
      <c r="A37" s="216">
        <v>28</v>
      </c>
      <c r="B37" s="217"/>
      <c r="C37" s="217"/>
      <c r="D37" s="217"/>
      <c r="E37" s="217"/>
      <c r="F37" s="217">
        <f>'Capital Cost Estimate'!$AA$584/50</f>
        <v>31185.369599999998</v>
      </c>
      <c r="G37" s="217">
        <f>'Operating Cost Estimate'!$N$61/50</f>
        <v>1002540</v>
      </c>
      <c r="H37" s="217"/>
      <c r="I37" s="217">
        <f>'Operating Cost Estimate'!$N$67/70</f>
        <v>115158.78</v>
      </c>
      <c r="J37" s="218">
        <f t="shared" si="2"/>
        <v>1148884.1496</v>
      </c>
      <c r="K37" s="219">
        <f t="shared" si="0"/>
        <v>2628563.8420857065</v>
      </c>
      <c r="L37" s="219">
        <f t="shared" si="1"/>
        <v>652538.8258994435</v>
      </c>
    </row>
    <row r="38" spans="1:12" ht="12">
      <c r="A38" s="216">
        <v>29</v>
      </c>
      <c r="B38" s="217"/>
      <c r="C38" s="217"/>
      <c r="D38" s="217"/>
      <c r="E38" s="217"/>
      <c r="F38" s="217">
        <f>'Capital Cost Estimate'!$AA$584/50</f>
        <v>31185.369599999998</v>
      </c>
      <c r="G38" s="217">
        <f>'Operating Cost Estimate'!$N$61/50</f>
        <v>1002540</v>
      </c>
      <c r="H38" s="217"/>
      <c r="I38" s="217">
        <f>'Operating Cost Estimate'!$N$67/70</f>
        <v>115158.78</v>
      </c>
      <c r="J38" s="218">
        <f t="shared" si="2"/>
        <v>1148884.1496</v>
      </c>
      <c r="K38" s="219">
        <f t="shared" si="0"/>
        <v>2707420.7573482776</v>
      </c>
      <c r="L38" s="219">
        <f t="shared" si="1"/>
        <v>639488.0493814546</v>
      </c>
    </row>
    <row r="39" spans="1:12" ht="12">
      <c r="A39" s="216">
        <v>30</v>
      </c>
      <c r="B39" s="217"/>
      <c r="C39" s="217"/>
      <c r="D39" s="217"/>
      <c r="E39" s="217"/>
      <c r="F39" s="217">
        <f>'Capital Cost Estimate'!$AA$584/50</f>
        <v>31185.369599999998</v>
      </c>
      <c r="G39" s="217">
        <f>'Operating Cost Estimate'!$N$61/50</f>
        <v>1002540</v>
      </c>
      <c r="H39" s="217"/>
      <c r="I39" s="217">
        <f>'Operating Cost Estimate'!$N$67/70</f>
        <v>115158.78</v>
      </c>
      <c r="J39" s="218">
        <f>SUM(B39:I39)</f>
        <v>1148884.1496</v>
      </c>
      <c r="K39" s="219">
        <f t="shared" si="0"/>
        <v>2788643.380068726</v>
      </c>
      <c r="L39" s="219">
        <f t="shared" si="1"/>
        <v>626698.2883938255</v>
      </c>
    </row>
    <row r="40" spans="1:12" ht="12">
      <c r="A40" s="216">
        <v>31</v>
      </c>
      <c r="B40" s="217"/>
      <c r="C40" s="217"/>
      <c r="D40" s="217"/>
      <c r="E40" s="217"/>
      <c r="F40" s="217">
        <f>'Capital Cost Estimate'!$AA$584/50</f>
        <v>31185.369599999998</v>
      </c>
      <c r="G40" s="217">
        <f>'Operating Cost Estimate'!$N$61/50</f>
        <v>1002540</v>
      </c>
      <c r="H40" s="217"/>
      <c r="I40" s="217">
        <f>'Operating Cost Estimate'!$N$67/70</f>
        <v>115158.78</v>
      </c>
      <c r="J40" s="218">
        <f>SUM(B40:I40)</f>
        <v>1148884.1496</v>
      </c>
      <c r="K40" s="219">
        <f t="shared" si="0"/>
        <v>2872302.681470788</v>
      </c>
      <c r="L40" s="219">
        <f t="shared" si="1"/>
        <v>614164.3226259489</v>
      </c>
    </row>
    <row r="41" spans="1:12" ht="12">
      <c r="A41" s="216">
        <v>32</v>
      </c>
      <c r="B41" s="217"/>
      <c r="C41" s="217"/>
      <c r="D41" s="217"/>
      <c r="E41" s="217"/>
      <c r="F41" s="217">
        <f>'Capital Cost Estimate'!$AA$584/50</f>
        <v>31185.369599999998</v>
      </c>
      <c r="G41" s="217">
        <f>'Operating Cost Estimate'!$N$61/50</f>
        <v>1002540</v>
      </c>
      <c r="H41" s="217"/>
      <c r="I41" s="217">
        <f>'Operating Cost Estimate'!$N$67/70</f>
        <v>115158.78</v>
      </c>
      <c r="J41" s="218">
        <f aca="true" t="shared" si="3" ref="J41:J78">SUM(B41:I41)</f>
        <v>1148884.1496</v>
      </c>
      <c r="K41" s="219">
        <f aca="true" t="shared" si="4" ref="K41:K72">($J41*((1+K$8)^A41))</f>
        <v>2958471.761914911</v>
      </c>
      <c r="L41" s="219">
        <f aca="true" t="shared" si="5" ref="L41:L72">J41*((1+K$8-L$8)^A41)</f>
        <v>601881.0361734299</v>
      </c>
    </row>
    <row r="42" spans="1:12" ht="12">
      <c r="A42" s="216">
        <v>33</v>
      </c>
      <c r="B42" s="217"/>
      <c r="C42" s="217"/>
      <c r="D42" s="217"/>
      <c r="E42" s="217"/>
      <c r="F42" s="217">
        <f>'Capital Cost Estimate'!$AA$584/50</f>
        <v>31185.369599999998</v>
      </c>
      <c r="G42" s="217">
        <f>'Operating Cost Estimate'!$N$61/50</f>
        <v>1002540</v>
      </c>
      <c r="H42" s="217"/>
      <c r="I42" s="217">
        <f>'Operating Cost Estimate'!$N$67/70</f>
        <v>115158.78</v>
      </c>
      <c r="J42" s="218">
        <f t="shared" si="3"/>
        <v>1148884.1496</v>
      </c>
      <c r="K42" s="219">
        <f t="shared" si="4"/>
        <v>3047225.9147723583</v>
      </c>
      <c r="L42" s="219">
        <f t="shared" si="5"/>
        <v>589843.4154499614</v>
      </c>
    </row>
    <row r="43" spans="1:12" ht="12">
      <c r="A43" s="216">
        <v>34</v>
      </c>
      <c r="B43" s="217"/>
      <c r="C43" s="217"/>
      <c r="D43" s="217"/>
      <c r="E43" s="217"/>
      <c r="F43" s="217">
        <f>'Capital Cost Estimate'!$AA$584/50</f>
        <v>31185.369599999998</v>
      </c>
      <c r="G43" s="217">
        <f>'Operating Cost Estimate'!$N$61/50</f>
        <v>1002540</v>
      </c>
      <c r="H43" s="217"/>
      <c r="I43" s="217">
        <f>'Operating Cost Estimate'!$N$67/70</f>
        <v>115158.78</v>
      </c>
      <c r="J43" s="218">
        <f t="shared" si="3"/>
        <v>1148884.1496</v>
      </c>
      <c r="K43" s="219">
        <f t="shared" si="4"/>
        <v>3138642.692215529</v>
      </c>
      <c r="L43" s="219">
        <f t="shared" si="5"/>
        <v>578046.5471409621</v>
      </c>
    </row>
    <row r="44" spans="1:12" ht="12">
      <c r="A44" s="216">
        <v>35</v>
      </c>
      <c r="B44" s="217"/>
      <c r="C44" s="217"/>
      <c r="D44" s="217"/>
      <c r="E44" s="217"/>
      <c r="F44" s="217">
        <f>'Capital Cost Estimate'!$AA$584/50</f>
        <v>31185.369599999998</v>
      </c>
      <c r="G44" s="217">
        <f>'Operating Cost Estimate'!$N$61/50</f>
        <v>1002540</v>
      </c>
      <c r="H44" s="217"/>
      <c r="I44" s="217">
        <f>'Operating Cost Estimate'!$N$67/70</f>
        <v>115158.78</v>
      </c>
      <c r="J44" s="218">
        <f t="shared" si="3"/>
        <v>1148884.1496</v>
      </c>
      <c r="K44" s="219">
        <f t="shared" si="4"/>
        <v>3232801.972981995</v>
      </c>
      <c r="L44" s="219">
        <f t="shared" si="5"/>
        <v>566485.6161981429</v>
      </c>
    </row>
    <row r="45" spans="1:12" ht="12">
      <c r="A45" s="216">
        <v>36</v>
      </c>
      <c r="B45" s="217"/>
      <c r="C45" s="217"/>
      <c r="D45" s="217"/>
      <c r="E45" s="217"/>
      <c r="F45" s="217">
        <f>'Capital Cost Estimate'!$AA$584/50</f>
        <v>31185.369599999998</v>
      </c>
      <c r="G45" s="217">
        <f>'Operating Cost Estimate'!$N$61/50</f>
        <v>1002540</v>
      </c>
      <c r="H45" s="217"/>
      <c r="I45" s="217">
        <f>'Operating Cost Estimate'!$N$67/70</f>
        <v>115158.78</v>
      </c>
      <c r="J45" s="218">
        <f t="shared" si="3"/>
        <v>1148884.1496</v>
      </c>
      <c r="K45" s="219">
        <f t="shared" si="4"/>
        <v>3329786.0321714547</v>
      </c>
      <c r="L45" s="219">
        <f t="shared" si="5"/>
        <v>555155.9038741799</v>
      </c>
    </row>
    <row r="46" spans="1:12" ht="12">
      <c r="A46" s="216">
        <v>37</v>
      </c>
      <c r="B46" s="217"/>
      <c r="C46" s="217"/>
      <c r="D46" s="217"/>
      <c r="E46" s="217"/>
      <c r="F46" s="217">
        <f>'Capital Cost Estimate'!$AA$584/50</f>
        <v>31185.369599999998</v>
      </c>
      <c r="G46" s="217">
        <f>'Operating Cost Estimate'!$N$61/50</f>
        <v>1002540</v>
      </c>
      <c r="H46" s="217"/>
      <c r="I46" s="217">
        <f>'Operating Cost Estimate'!$N$67/70</f>
        <v>115158.78</v>
      </c>
      <c r="J46" s="218">
        <f t="shared" si="3"/>
        <v>1148884.1496</v>
      </c>
      <c r="K46" s="219">
        <f t="shared" si="4"/>
        <v>3429679.613136598</v>
      </c>
      <c r="L46" s="219">
        <f t="shared" si="5"/>
        <v>544052.7857966963</v>
      </c>
    </row>
    <row r="47" spans="1:12" ht="12">
      <c r="A47" s="216">
        <v>38</v>
      </c>
      <c r="B47" s="217"/>
      <c r="C47" s="217"/>
      <c r="D47" s="217"/>
      <c r="E47" s="217"/>
      <c r="F47" s="217">
        <f>'Capital Cost Estimate'!$AA$584/50</f>
        <v>31185.369599999998</v>
      </c>
      <c r="G47" s="217">
        <f>'Operating Cost Estimate'!$N$61/50</f>
        <v>1002540</v>
      </c>
      <c r="H47" s="217"/>
      <c r="I47" s="217">
        <f>'Operating Cost Estimate'!$N$67/70</f>
        <v>115158.78</v>
      </c>
      <c r="J47" s="218">
        <f t="shared" si="3"/>
        <v>1148884.1496</v>
      </c>
      <c r="K47" s="219">
        <f t="shared" si="4"/>
        <v>3532570.0015306957</v>
      </c>
      <c r="L47" s="219">
        <f t="shared" si="5"/>
        <v>533171.7300807624</v>
      </c>
    </row>
    <row r="48" spans="1:12" ht="12">
      <c r="A48" s="216">
        <v>39</v>
      </c>
      <c r="B48" s="217"/>
      <c r="C48" s="217"/>
      <c r="D48" s="217"/>
      <c r="E48" s="217"/>
      <c r="F48" s="217">
        <f>'Capital Cost Estimate'!$AA$584/50</f>
        <v>31185.369599999998</v>
      </c>
      <c r="G48" s="217">
        <f>'Operating Cost Estimate'!$N$61/50</f>
        <v>1002540</v>
      </c>
      <c r="H48" s="217"/>
      <c r="I48" s="217">
        <f>'Operating Cost Estimate'!$N$67/70+'Operating Cost Estimate'!$N$52</f>
        <v>1422158.78</v>
      </c>
      <c r="J48" s="218">
        <f t="shared" si="3"/>
        <v>2455884.1496</v>
      </c>
      <c r="K48" s="219">
        <f t="shared" si="4"/>
        <v>7777851.367734664</v>
      </c>
      <c r="L48" s="219">
        <f t="shared" si="5"/>
        <v>1116927.0995239352</v>
      </c>
    </row>
    <row r="49" spans="1:12" ht="12">
      <c r="A49" s="216">
        <v>40</v>
      </c>
      <c r="B49" s="217"/>
      <c r="C49" s="217"/>
      <c r="D49" s="217"/>
      <c r="E49" s="217"/>
      <c r="F49" s="217">
        <f>'Capital Cost Estimate'!$AA$584/50</f>
        <v>31185.369599999998</v>
      </c>
      <c r="G49" s="217">
        <f>'Operating Cost Estimate'!$N$61/50</f>
        <v>1002540</v>
      </c>
      <c r="H49" s="217"/>
      <c r="I49" s="217">
        <f>'Operating Cost Estimate'!$N$67/70</f>
        <v>115158.78</v>
      </c>
      <c r="J49" s="218">
        <f t="shared" si="3"/>
        <v>1148884.1496</v>
      </c>
      <c r="K49" s="219">
        <f t="shared" si="4"/>
        <v>3747703.5146239153</v>
      </c>
      <c r="L49" s="219">
        <f t="shared" si="5"/>
        <v>512058.12956956413</v>
      </c>
    </row>
    <row r="50" spans="1:12" ht="12">
      <c r="A50" s="216">
        <v>41</v>
      </c>
      <c r="B50" s="217"/>
      <c r="C50" s="217"/>
      <c r="D50" s="217"/>
      <c r="E50" s="217"/>
      <c r="F50" s="217">
        <f>'Capital Cost Estimate'!$AA$584/50</f>
        <v>31185.369599999998</v>
      </c>
      <c r="G50" s="217">
        <f>'Operating Cost Estimate'!$N$61/50</f>
        <v>1002540</v>
      </c>
      <c r="H50" s="217"/>
      <c r="I50" s="217">
        <f>'Operating Cost Estimate'!$N$67/70</f>
        <v>115158.78</v>
      </c>
      <c r="J50" s="218">
        <f t="shared" si="3"/>
        <v>1148884.1496</v>
      </c>
      <c r="K50" s="219">
        <f t="shared" si="4"/>
        <v>3860134.620062633</v>
      </c>
      <c r="L50" s="219">
        <f t="shared" si="5"/>
        <v>501816.9669781729</v>
      </c>
    </row>
    <row r="51" spans="1:12" ht="12">
      <c r="A51" s="216">
        <v>42</v>
      </c>
      <c r="B51" s="217"/>
      <c r="C51" s="217"/>
      <c r="D51" s="217"/>
      <c r="E51" s="217"/>
      <c r="F51" s="217">
        <f>'Capital Cost Estimate'!$AA$584/50</f>
        <v>31185.369599999998</v>
      </c>
      <c r="G51" s="217">
        <f>'Operating Cost Estimate'!$N$61/50</f>
        <v>1002540</v>
      </c>
      <c r="H51" s="217"/>
      <c r="I51" s="217">
        <f>'Operating Cost Estimate'!$N$67/70</f>
        <v>115158.78</v>
      </c>
      <c r="J51" s="218">
        <f t="shared" si="3"/>
        <v>1148884.1496</v>
      </c>
      <c r="K51" s="219">
        <f t="shared" si="4"/>
        <v>3975938.658664512</v>
      </c>
      <c r="L51" s="219">
        <f t="shared" si="5"/>
        <v>491780.6276386094</v>
      </c>
    </row>
    <row r="52" spans="1:12" ht="12">
      <c r="A52" s="216">
        <v>43</v>
      </c>
      <c r="B52" s="217"/>
      <c r="C52" s="217"/>
      <c r="D52" s="217"/>
      <c r="E52" s="217"/>
      <c r="F52" s="217">
        <f>'Capital Cost Estimate'!$AA$584/50</f>
        <v>31185.369599999998</v>
      </c>
      <c r="G52" s="217">
        <f>'Operating Cost Estimate'!$N$61/50</f>
        <v>1002540</v>
      </c>
      <c r="H52" s="217"/>
      <c r="I52" s="217">
        <f>'Operating Cost Estimate'!$N$67/70</f>
        <v>115158.78</v>
      </c>
      <c r="J52" s="218">
        <f t="shared" si="3"/>
        <v>1148884.1496</v>
      </c>
      <c r="K52" s="219">
        <f t="shared" si="4"/>
        <v>4095216.8184244474</v>
      </c>
      <c r="L52" s="219">
        <f t="shared" si="5"/>
        <v>481945.01508583716</v>
      </c>
    </row>
    <row r="53" spans="1:12" ht="12">
      <c r="A53" s="216">
        <v>44</v>
      </c>
      <c r="B53" s="217"/>
      <c r="C53" s="217"/>
      <c r="D53" s="217"/>
      <c r="E53" s="217"/>
      <c r="F53" s="217">
        <f>'Capital Cost Estimate'!$AA$584/50</f>
        <v>31185.369599999998</v>
      </c>
      <c r="G53" s="217">
        <f>'Operating Cost Estimate'!$N$61/50</f>
        <v>1002540</v>
      </c>
      <c r="H53" s="217"/>
      <c r="I53" s="217">
        <f>'Operating Cost Estimate'!$N$67/70</f>
        <v>115158.78</v>
      </c>
      <c r="J53" s="218">
        <f t="shared" si="3"/>
        <v>1148884.1496</v>
      </c>
      <c r="K53" s="219">
        <f t="shared" si="4"/>
        <v>4218073.322977181</v>
      </c>
      <c r="L53" s="219">
        <f t="shared" si="5"/>
        <v>472306.1147841204</v>
      </c>
    </row>
    <row r="54" spans="1:12" ht="12">
      <c r="A54" s="216">
        <v>45</v>
      </c>
      <c r="B54" s="217"/>
      <c r="C54" s="217"/>
      <c r="D54" s="217"/>
      <c r="E54" s="217"/>
      <c r="F54" s="217">
        <f>'Capital Cost Estimate'!$AA$584/50</f>
        <v>31185.369599999998</v>
      </c>
      <c r="G54" s="217">
        <f>'Operating Cost Estimate'!$N$61/50</f>
        <v>1002540</v>
      </c>
      <c r="H54" s="217"/>
      <c r="I54" s="217">
        <f>'Operating Cost Estimate'!$N$67/70</f>
        <v>115158.78</v>
      </c>
      <c r="J54" s="218">
        <f t="shared" si="3"/>
        <v>1148884.1496</v>
      </c>
      <c r="K54" s="219">
        <f t="shared" si="4"/>
        <v>4344615.522666495</v>
      </c>
      <c r="L54" s="219">
        <f t="shared" si="5"/>
        <v>462859.992488438</v>
      </c>
    </row>
    <row r="55" spans="1:12" ht="12">
      <c r="A55" s="216">
        <v>46</v>
      </c>
      <c r="B55" s="217"/>
      <c r="C55" s="217"/>
      <c r="D55" s="217"/>
      <c r="E55" s="217"/>
      <c r="F55" s="217">
        <f>'Capital Cost Estimate'!$AA$584/50</f>
        <v>31185.369599999998</v>
      </c>
      <c r="G55" s="217">
        <f>'Operating Cost Estimate'!$N$61/50</f>
        <v>1002540</v>
      </c>
      <c r="H55" s="217"/>
      <c r="I55" s="217">
        <f>'Operating Cost Estimate'!$N$67/70</f>
        <v>115158.78</v>
      </c>
      <c r="J55" s="218">
        <f t="shared" si="3"/>
        <v>1148884.1496</v>
      </c>
      <c r="K55" s="219">
        <f t="shared" si="4"/>
        <v>4474953.98834649</v>
      </c>
      <c r="L55" s="219">
        <f t="shared" si="5"/>
        <v>453602.79263866926</v>
      </c>
    </row>
    <row r="56" spans="1:12" ht="12">
      <c r="A56" s="216">
        <v>47</v>
      </c>
      <c r="B56" s="217"/>
      <c r="C56" s="217"/>
      <c r="D56" s="217"/>
      <c r="E56" s="217"/>
      <c r="F56" s="217">
        <f>'Capital Cost Estimate'!$AA$584/50</f>
        <v>31185.369599999998</v>
      </c>
      <c r="G56" s="217">
        <f>'Operating Cost Estimate'!$N$61/50</f>
        <v>1002540</v>
      </c>
      <c r="H56" s="217"/>
      <c r="I56" s="217">
        <f>'Operating Cost Estimate'!$N$67/70</f>
        <v>115158.78</v>
      </c>
      <c r="J56" s="218">
        <f t="shared" si="3"/>
        <v>1148884.1496</v>
      </c>
      <c r="K56" s="219">
        <f t="shared" si="4"/>
        <v>4609202.607996886</v>
      </c>
      <c r="L56" s="219">
        <f t="shared" si="5"/>
        <v>444530.73678589583</v>
      </c>
    </row>
    <row r="57" spans="1:12" ht="12">
      <c r="A57" s="216">
        <v>48</v>
      </c>
      <c r="B57" s="217"/>
      <c r="C57" s="217"/>
      <c r="D57" s="217"/>
      <c r="E57" s="217"/>
      <c r="F57" s="217">
        <f>'Capital Cost Estimate'!$AA$584/50</f>
        <v>31185.369599999998</v>
      </c>
      <c r="G57" s="217">
        <f>'Operating Cost Estimate'!$N$61/50</f>
        <v>1002540</v>
      </c>
      <c r="H57" s="217"/>
      <c r="I57" s="217">
        <f>'Operating Cost Estimate'!$N$67/70</f>
        <v>115158.78</v>
      </c>
      <c r="J57" s="218">
        <f t="shared" si="3"/>
        <v>1148884.1496</v>
      </c>
      <c r="K57" s="219">
        <f t="shared" si="4"/>
        <v>4747478.686236792</v>
      </c>
      <c r="L57" s="219">
        <f t="shared" si="5"/>
        <v>435640.1220501779</v>
      </c>
    </row>
    <row r="58" spans="1:12" ht="12">
      <c r="A58" s="216">
        <v>49</v>
      </c>
      <c r="B58" s="217"/>
      <c r="C58" s="217"/>
      <c r="D58" s="217"/>
      <c r="E58" s="217"/>
      <c r="F58" s="217">
        <f>'Capital Cost Estimate'!$AA$584/50</f>
        <v>31185.369599999998</v>
      </c>
      <c r="G58" s="217">
        <f>'Operating Cost Estimate'!$N$61/50</f>
        <v>1002540</v>
      </c>
      <c r="H58" s="217"/>
      <c r="I58" s="217">
        <f>'Operating Cost Estimate'!$N$67/70</f>
        <v>115158.78</v>
      </c>
      <c r="J58" s="218">
        <f t="shared" si="3"/>
        <v>1148884.1496</v>
      </c>
      <c r="K58" s="219">
        <f t="shared" si="4"/>
        <v>4889903.046823895</v>
      </c>
      <c r="L58" s="219">
        <f t="shared" si="5"/>
        <v>426927.3196091744</v>
      </c>
    </row>
    <row r="59" spans="1:12" ht="12">
      <c r="A59" s="216">
        <v>50</v>
      </c>
      <c r="B59" s="217"/>
      <c r="C59" s="217"/>
      <c r="D59" s="217">
        <f>'Capital Cost Estimate'!$AA$578/7</f>
        <v>1784390.2560000003</v>
      </c>
      <c r="E59" s="217"/>
      <c r="F59" s="217">
        <f>'Capital Cost Estimate'!$AA$584/50</f>
        <v>31185.369599999998</v>
      </c>
      <c r="G59" s="217"/>
      <c r="H59" s="217"/>
      <c r="I59" s="217">
        <f>'Operating Cost Estimate'!$N$67/70</f>
        <v>115158.78</v>
      </c>
      <c r="J59" s="218">
        <f t="shared" si="3"/>
        <v>1930734.4056000004</v>
      </c>
      <c r="K59" s="219">
        <f t="shared" si="4"/>
        <v>8464158.18123469</v>
      </c>
      <c r="L59" s="219">
        <f t="shared" si="5"/>
        <v>703114.9308205411</v>
      </c>
    </row>
    <row r="60" spans="1:12" ht="12">
      <c r="A60" s="216">
        <v>51</v>
      </c>
      <c r="B60" s="217"/>
      <c r="C60" s="217"/>
      <c r="D60" s="217"/>
      <c r="E60" s="217"/>
      <c r="F60" s="217"/>
      <c r="G60" s="217"/>
      <c r="H60" s="217"/>
      <c r="I60" s="217">
        <f>'Operating Cost Estimate'!$N$67/70</f>
        <v>115158.78</v>
      </c>
      <c r="J60" s="218">
        <f t="shared" si="3"/>
        <v>115158.78</v>
      </c>
      <c r="K60" s="219">
        <f t="shared" si="4"/>
        <v>519990.62681143417</v>
      </c>
      <c r="L60" s="219">
        <f t="shared" si="5"/>
        <v>41098.58935038618</v>
      </c>
    </row>
    <row r="61" spans="1:12" ht="12">
      <c r="A61" s="216">
        <v>52</v>
      </c>
      <c r="B61" s="217"/>
      <c r="C61" s="217"/>
      <c r="D61" s="217"/>
      <c r="E61" s="217"/>
      <c r="F61" s="217"/>
      <c r="G61" s="217"/>
      <c r="H61" s="217"/>
      <c r="I61" s="217">
        <f>'Operating Cost Estimate'!$N$67/70</f>
        <v>115158.78</v>
      </c>
      <c r="J61" s="218">
        <f t="shared" si="3"/>
        <v>115158.78</v>
      </c>
      <c r="K61" s="219">
        <f t="shared" si="4"/>
        <v>535590.3456157772</v>
      </c>
      <c r="L61" s="219">
        <f t="shared" si="5"/>
        <v>40276.61756337845</v>
      </c>
    </row>
    <row r="62" spans="1:12" ht="12">
      <c r="A62" s="216">
        <v>53</v>
      </c>
      <c r="B62" s="217"/>
      <c r="C62" s="217"/>
      <c r="D62" s="217"/>
      <c r="E62" s="217"/>
      <c r="F62" s="217"/>
      <c r="G62" s="217"/>
      <c r="H62" s="217"/>
      <c r="I62" s="217">
        <f>'Operating Cost Estimate'!$N$67/70</f>
        <v>115158.78</v>
      </c>
      <c r="J62" s="218">
        <f t="shared" si="3"/>
        <v>115158.78</v>
      </c>
      <c r="K62" s="219">
        <f t="shared" si="4"/>
        <v>551658.0559842504</v>
      </c>
      <c r="L62" s="219">
        <f t="shared" si="5"/>
        <v>39471.085212110884</v>
      </c>
    </row>
    <row r="63" spans="1:12" ht="12">
      <c r="A63" s="216">
        <v>54</v>
      </c>
      <c r="B63" s="217"/>
      <c r="C63" s="217"/>
      <c r="D63" s="217"/>
      <c r="E63" s="217"/>
      <c r="F63" s="217"/>
      <c r="G63" s="217"/>
      <c r="H63" s="217"/>
      <c r="I63" s="217">
        <f>'Operating Cost Estimate'!$N$67/70</f>
        <v>115158.78</v>
      </c>
      <c r="J63" s="218">
        <f t="shared" si="3"/>
        <v>115158.78</v>
      </c>
      <c r="K63" s="219">
        <f t="shared" si="4"/>
        <v>568207.797663778</v>
      </c>
      <c r="L63" s="219">
        <f t="shared" si="5"/>
        <v>38681.66350786867</v>
      </c>
    </row>
    <row r="64" spans="1:12" ht="12">
      <c r="A64" s="216">
        <v>55</v>
      </c>
      <c r="B64" s="217"/>
      <c r="C64" s="217"/>
      <c r="D64" s="217"/>
      <c r="E64" s="217"/>
      <c r="F64" s="217"/>
      <c r="G64" s="217"/>
      <c r="H64" s="217"/>
      <c r="I64" s="217">
        <f>'Operating Cost Estimate'!$N$67/70</f>
        <v>115158.78</v>
      </c>
      <c r="J64" s="218">
        <f t="shared" si="3"/>
        <v>115158.78</v>
      </c>
      <c r="K64" s="219">
        <f t="shared" si="4"/>
        <v>585254.0315936913</v>
      </c>
      <c r="L64" s="219">
        <f t="shared" si="5"/>
        <v>37908.03023771129</v>
      </c>
    </row>
    <row r="65" spans="1:12" ht="12">
      <c r="A65" s="216">
        <v>56</v>
      </c>
      <c r="B65" s="217"/>
      <c r="C65" s="217"/>
      <c r="D65" s="217"/>
      <c r="E65" s="217"/>
      <c r="F65" s="217"/>
      <c r="G65" s="217"/>
      <c r="H65" s="217"/>
      <c r="I65" s="217">
        <f>'Operating Cost Estimate'!$N$67/70</f>
        <v>115158.78</v>
      </c>
      <c r="J65" s="218">
        <f t="shared" si="3"/>
        <v>115158.78</v>
      </c>
      <c r="K65" s="219">
        <f t="shared" si="4"/>
        <v>602811.652541502</v>
      </c>
      <c r="L65" s="219">
        <f t="shared" si="5"/>
        <v>37149.86963295706</v>
      </c>
    </row>
    <row r="66" spans="1:12" ht="12">
      <c r="A66" s="216">
        <v>57</v>
      </c>
      <c r="B66" s="217"/>
      <c r="C66" s="217"/>
      <c r="D66" s="217"/>
      <c r="E66" s="217"/>
      <c r="F66" s="217"/>
      <c r="G66" s="217"/>
      <c r="H66" s="217"/>
      <c r="I66" s="217">
        <f>'Operating Cost Estimate'!$N$67/70</f>
        <v>115158.78</v>
      </c>
      <c r="J66" s="218">
        <f t="shared" si="3"/>
        <v>115158.78</v>
      </c>
      <c r="K66" s="219">
        <f t="shared" si="4"/>
        <v>620896.0021177471</v>
      </c>
      <c r="L66" s="219">
        <f t="shared" si="5"/>
        <v>36406.87224029792</v>
      </c>
    </row>
    <row r="67" spans="1:12" ht="12">
      <c r="A67" s="216">
        <v>58</v>
      </c>
      <c r="B67" s="217"/>
      <c r="C67" s="217"/>
      <c r="D67" s="217"/>
      <c r="E67" s="217"/>
      <c r="F67" s="217"/>
      <c r="G67" s="217"/>
      <c r="H67" s="217"/>
      <c r="I67" s="217">
        <f>'Operating Cost Estimate'!$N$67/70</f>
        <v>115158.78</v>
      </c>
      <c r="J67" s="218">
        <f t="shared" si="3"/>
        <v>115158.78</v>
      </c>
      <c r="K67" s="219">
        <f t="shared" si="4"/>
        <v>639522.8821812796</v>
      </c>
      <c r="L67" s="219">
        <f t="shared" si="5"/>
        <v>35678.73479549196</v>
      </c>
    </row>
    <row r="68" spans="1:12" ht="12">
      <c r="A68" s="216">
        <v>59</v>
      </c>
      <c r="B68" s="217"/>
      <c r="C68" s="217"/>
      <c r="D68" s="217"/>
      <c r="E68" s="217"/>
      <c r="F68" s="217"/>
      <c r="G68" s="217"/>
      <c r="H68" s="217"/>
      <c r="I68" s="217">
        <f>'Operating Cost Estimate'!$N$67/70</f>
        <v>115158.78</v>
      </c>
      <c r="J68" s="218">
        <f t="shared" si="3"/>
        <v>115158.78</v>
      </c>
      <c r="K68" s="219">
        <f t="shared" si="4"/>
        <v>658708.5686467179</v>
      </c>
      <c r="L68" s="219">
        <f t="shared" si="5"/>
        <v>34965.16009958211</v>
      </c>
    </row>
    <row r="69" spans="1:12" ht="12">
      <c r="A69" s="216">
        <v>60</v>
      </c>
      <c r="B69" s="217"/>
      <c r="C69" s="217"/>
      <c r="D69" s="217"/>
      <c r="E69" s="217"/>
      <c r="F69" s="217"/>
      <c r="G69" s="217"/>
      <c r="H69" s="217"/>
      <c r="I69" s="217">
        <f>'Operating Cost Estimate'!$N$67/70</f>
        <v>115158.78</v>
      </c>
      <c r="J69" s="218">
        <f t="shared" si="3"/>
        <v>115158.78</v>
      </c>
      <c r="K69" s="219">
        <f t="shared" si="4"/>
        <v>678469.8257061194</v>
      </c>
      <c r="L69" s="219">
        <f t="shared" si="5"/>
        <v>34265.85689759047</v>
      </c>
    </row>
    <row r="70" spans="1:12" ht="12">
      <c r="A70" s="216">
        <v>61</v>
      </c>
      <c r="B70" s="217"/>
      <c r="C70" s="217"/>
      <c r="D70" s="217"/>
      <c r="E70" s="217"/>
      <c r="F70" s="217"/>
      <c r="G70" s="217"/>
      <c r="H70" s="217"/>
      <c r="I70" s="217">
        <f>'Operating Cost Estimate'!$N$67/70</f>
        <v>115158.78</v>
      </c>
      <c r="J70" s="218">
        <f t="shared" si="3"/>
        <v>115158.78</v>
      </c>
      <c r="K70" s="219">
        <f t="shared" si="4"/>
        <v>698823.9204773029</v>
      </c>
      <c r="L70" s="219">
        <f t="shared" si="5"/>
        <v>33580.53975963866</v>
      </c>
    </row>
    <row r="71" spans="1:12" ht="12">
      <c r="A71" s="216">
        <v>62</v>
      </c>
      <c r="B71" s="217"/>
      <c r="C71" s="217"/>
      <c r="D71" s="217"/>
      <c r="E71" s="217"/>
      <c r="F71" s="217"/>
      <c r="G71" s="217"/>
      <c r="H71" s="217"/>
      <c r="I71" s="217">
        <f>'Operating Cost Estimate'!$N$67/70</f>
        <v>115158.78</v>
      </c>
      <c r="J71" s="218">
        <f t="shared" si="3"/>
        <v>115158.78</v>
      </c>
      <c r="K71" s="219">
        <f t="shared" si="4"/>
        <v>719788.638091622</v>
      </c>
      <c r="L71" s="219">
        <f t="shared" si="5"/>
        <v>32908.92896444589</v>
      </c>
    </row>
    <row r="72" spans="1:12" ht="12">
      <c r="A72" s="216">
        <v>63</v>
      </c>
      <c r="B72" s="217"/>
      <c r="C72" s="217"/>
      <c r="D72" s="217"/>
      <c r="E72" s="217"/>
      <c r="F72" s="217"/>
      <c r="G72" s="217"/>
      <c r="H72" s="217"/>
      <c r="I72" s="217">
        <f>'Operating Cost Estimate'!$N$67/70</f>
        <v>115158.78</v>
      </c>
      <c r="J72" s="218">
        <f t="shared" si="3"/>
        <v>115158.78</v>
      </c>
      <c r="K72" s="219">
        <f t="shared" si="4"/>
        <v>741382.2972343708</v>
      </c>
      <c r="L72" s="219">
        <f t="shared" si="5"/>
        <v>32250.750385156967</v>
      </c>
    </row>
    <row r="73" spans="1:12" ht="12">
      <c r="A73" s="216">
        <v>64</v>
      </c>
      <c r="B73" s="217"/>
      <c r="C73" s="217"/>
      <c r="D73" s="217"/>
      <c r="E73" s="217"/>
      <c r="F73" s="217"/>
      <c r="G73" s="217"/>
      <c r="H73" s="217"/>
      <c r="I73" s="217">
        <f>'Operating Cost Estimate'!$N$67/70</f>
        <v>115158.78</v>
      </c>
      <c r="J73" s="218">
        <f t="shared" si="3"/>
        <v>115158.78</v>
      </c>
      <c r="K73" s="219">
        <f aca="true" t="shared" si="6" ref="K73:K78">($J73*((1+K$8)^A73))</f>
        <v>763623.7661514018</v>
      </c>
      <c r="L73" s="219">
        <f aca="true" t="shared" si="7" ref="L73:L78">J73*((1+K$8-L$8)^A73)</f>
        <v>31605.735377453828</v>
      </c>
    </row>
    <row r="74" spans="1:12" ht="12">
      <c r="A74" s="216">
        <v>65</v>
      </c>
      <c r="B74" s="217"/>
      <c r="C74" s="217"/>
      <c r="D74" s="217"/>
      <c r="E74" s="217"/>
      <c r="F74" s="217"/>
      <c r="G74" s="217"/>
      <c r="H74" s="217"/>
      <c r="I74" s="217">
        <f>'Operating Cost Estimate'!$N$67/70</f>
        <v>115158.78</v>
      </c>
      <c r="J74" s="218">
        <f t="shared" si="3"/>
        <v>115158.78</v>
      </c>
      <c r="K74" s="219">
        <f t="shared" si="6"/>
        <v>786532.4791359438</v>
      </c>
      <c r="L74" s="219">
        <f t="shared" si="7"/>
        <v>30973.62066990475</v>
      </c>
    </row>
    <row r="75" spans="1:12" ht="12">
      <c r="A75" s="216">
        <v>66</v>
      </c>
      <c r="B75" s="217"/>
      <c r="C75" s="217"/>
      <c r="D75" s="217"/>
      <c r="E75" s="217"/>
      <c r="F75" s="217"/>
      <c r="G75" s="217"/>
      <c r="H75" s="217"/>
      <c r="I75" s="217">
        <f>'Operating Cost Estimate'!$N$67/70</f>
        <v>115158.78</v>
      </c>
      <c r="J75" s="218">
        <f t="shared" si="3"/>
        <v>115158.78</v>
      </c>
      <c r="K75" s="219">
        <f t="shared" si="6"/>
        <v>810128.4535100221</v>
      </c>
      <c r="L75" s="219">
        <f t="shared" si="7"/>
        <v>30354.148256506654</v>
      </c>
    </row>
    <row r="76" spans="1:12" ht="12">
      <c r="A76" s="216">
        <v>67</v>
      </c>
      <c r="B76" s="217"/>
      <c r="C76" s="217"/>
      <c r="D76" s="217"/>
      <c r="E76" s="217"/>
      <c r="F76" s="217"/>
      <c r="G76" s="217"/>
      <c r="H76" s="217"/>
      <c r="I76" s="217">
        <f>'Operating Cost Estimate'!$N$67/70</f>
        <v>115158.78</v>
      </c>
      <c r="J76" s="218">
        <f t="shared" si="3"/>
        <v>115158.78</v>
      </c>
      <c r="K76" s="219">
        <f t="shared" si="6"/>
        <v>834432.3071153228</v>
      </c>
      <c r="L76" s="219">
        <f t="shared" si="7"/>
        <v>29747.065291376523</v>
      </c>
    </row>
    <row r="77" spans="1:12" ht="12">
      <c r="A77" s="216">
        <v>68</v>
      </c>
      <c r="B77" s="217"/>
      <c r="C77" s="217"/>
      <c r="D77" s="217"/>
      <c r="E77" s="217"/>
      <c r="F77" s="217"/>
      <c r="G77" s="217"/>
      <c r="H77" s="217"/>
      <c r="I77" s="217">
        <f>'Operating Cost Estimate'!$N$67/70</f>
        <v>115158.78</v>
      </c>
      <c r="J77" s="218">
        <f t="shared" si="3"/>
        <v>115158.78</v>
      </c>
      <c r="K77" s="219">
        <f t="shared" si="6"/>
        <v>859465.2763287824</v>
      </c>
      <c r="L77" s="219">
        <f t="shared" si="7"/>
        <v>29152.12398554899</v>
      </c>
    </row>
    <row r="78" spans="1:12" ht="12">
      <c r="A78" s="216">
        <v>69</v>
      </c>
      <c r="B78" s="217"/>
      <c r="C78" s="217"/>
      <c r="D78" s="217"/>
      <c r="E78" s="217"/>
      <c r="F78" s="217"/>
      <c r="G78" s="217"/>
      <c r="H78" s="217">
        <f>'Operating Cost Estimate'!$N$62</f>
        <v>770000</v>
      </c>
      <c r="I78" s="217">
        <f>'Operating Cost Estimate'!$N$67/70</f>
        <v>115158.78</v>
      </c>
      <c r="J78" s="218">
        <f t="shared" si="3"/>
        <v>885158.78</v>
      </c>
      <c r="K78" s="219">
        <f t="shared" si="6"/>
        <v>6804397.65436013</v>
      </c>
      <c r="L78" s="219">
        <f t="shared" si="7"/>
        <v>219593.96696828617</v>
      </c>
    </row>
    <row r="79" spans="1:12" ht="12">
      <c r="A79" s="214" t="s">
        <v>99</v>
      </c>
      <c r="B79" s="217">
        <f aca="true" t="shared" si="8" ref="B79:L79">SUM(B9:B78)</f>
        <v>3599371.16</v>
      </c>
      <c r="C79" s="217">
        <f t="shared" si="8"/>
        <v>2978497.83</v>
      </c>
      <c r="D79" s="217">
        <f t="shared" si="8"/>
        <v>12490731.792000003</v>
      </c>
      <c r="E79" s="217">
        <f t="shared" si="8"/>
        <v>1118.04</v>
      </c>
      <c r="F79" s="217">
        <f t="shared" si="8"/>
        <v>1559268.480000001</v>
      </c>
      <c r="G79" s="217">
        <f t="shared" si="8"/>
        <v>50127000</v>
      </c>
      <c r="H79" s="217">
        <f t="shared" si="8"/>
        <v>770000</v>
      </c>
      <c r="I79" s="217">
        <f t="shared" si="8"/>
        <v>12675114.599999987</v>
      </c>
      <c r="J79" s="217">
        <f t="shared" si="8"/>
        <v>84201101.90199998</v>
      </c>
      <c r="K79" s="217">
        <f t="shared" si="8"/>
        <v>184194772.4827621</v>
      </c>
      <c r="L79" s="217">
        <f t="shared" si="8"/>
        <v>57852519.13170727</v>
      </c>
    </row>
    <row r="80" ht="12">
      <c r="I80" s="203"/>
    </row>
    <row r="81" spans="2:12" ht="12">
      <c r="B81" s="203"/>
      <c r="C81" s="203"/>
      <c r="D81" s="203"/>
      <c r="E81" s="205"/>
      <c r="F81" s="203"/>
      <c r="G81" s="203"/>
      <c r="H81" s="203"/>
      <c r="I81" s="203"/>
      <c r="J81" s="203"/>
      <c r="L81" s="204"/>
    </row>
    <row r="82" spans="1:10" ht="12">
      <c r="A82" s="203"/>
      <c r="B82" s="203"/>
      <c r="C82" s="203"/>
      <c r="D82" s="203"/>
      <c r="E82" s="203"/>
      <c r="F82" s="203"/>
      <c r="G82" s="203"/>
      <c r="H82" s="203"/>
      <c r="I82" s="203"/>
      <c r="J82" s="203"/>
    </row>
    <row r="83" spans="1:10" ht="12">
      <c r="A83" s="203"/>
      <c r="B83" s="203"/>
      <c r="C83" s="203"/>
      <c r="D83" s="203"/>
      <c r="E83" s="203"/>
      <c r="F83" s="203"/>
      <c r="G83" s="203"/>
      <c r="H83" s="203"/>
      <c r="I83" s="203"/>
      <c r="J83" s="205"/>
    </row>
    <row r="84" spans="1:10" ht="12">
      <c r="A84" s="220"/>
      <c r="B84" s="203"/>
      <c r="C84" s="203"/>
      <c r="D84" s="203"/>
      <c r="E84" s="203"/>
      <c r="F84" s="203"/>
      <c r="G84" s="203"/>
      <c r="H84" s="203"/>
      <c r="I84" s="203"/>
      <c r="J84" s="203"/>
    </row>
    <row r="85" spans="1:10" ht="12">
      <c r="A85" s="203"/>
      <c r="B85" s="203"/>
      <c r="C85" s="203"/>
      <c r="D85" s="203"/>
      <c r="E85" s="203"/>
      <c r="F85" s="203"/>
      <c r="G85" s="203"/>
      <c r="H85" s="203"/>
      <c r="I85" s="203"/>
      <c r="J85" s="203"/>
    </row>
    <row r="86" spans="1:10" ht="12">
      <c r="A86" s="203"/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12">
      <c r="A87" s="203"/>
      <c r="B87" s="203"/>
      <c r="C87" s="203"/>
      <c r="D87" s="203"/>
      <c r="E87" s="203"/>
      <c r="F87" s="203"/>
      <c r="G87" s="203"/>
      <c r="H87" s="203"/>
      <c r="I87" s="203"/>
      <c r="J87" s="203"/>
    </row>
    <row r="88" spans="1:10" ht="12">
      <c r="A88" s="203"/>
      <c r="B88" s="203"/>
      <c r="C88" s="203"/>
      <c r="D88" s="203"/>
      <c r="E88" s="203"/>
      <c r="F88" s="203"/>
      <c r="G88" s="203"/>
      <c r="H88" s="203"/>
      <c r="I88" s="203"/>
      <c r="J88" s="203"/>
    </row>
    <row r="89" spans="1:10" ht="12">
      <c r="A89" s="203"/>
      <c r="B89" s="203"/>
      <c r="C89" s="203"/>
      <c r="D89" s="203"/>
      <c r="E89" s="203"/>
      <c r="F89" s="203"/>
      <c r="G89" s="203"/>
      <c r="H89" s="203"/>
      <c r="I89" s="203"/>
      <c r="J89" s="203"/>
    </row>
    <row r="90" spans="1:10" ht="12">
      <c r="A90" s="203"/>
      <c r="B90" s="203"/>
      <c r="C90" s="203"/>
      <c r="D90" s="203"/>
      <c r="E90" s="203"/>
      <c r="F90" s="203"/>
      <c r="G90" s="203"/>
      <c r="H90" s="203"/>
      <c r="I90" s="203"/>
      <c r="J90" s="203"/>
    </row>
    <row r="91" spans="1:10" ht="12">
      <c r="A91" s="203"/>
      <c r="B91" s="203"/>
      <c r="C91" s="203"/>
      <c r="D91" s="203"/>
      <c r="E91" s="203"/>
      <c r="F91" s="203"/>
      <c r="G91" s="203"/>
      <c r="H91" s="203"/>
      <c r="I91" s="203"/>
      <c r="J91" s="203"/>
    </row>
    <row r="92" spans="1:10" ht="12">
      <c r="A92" s="203"/>
      <c r="B92" s="203"/>
      <c r="C92" s="203"/>
      <c r="D92" s="203"/>
      <c r="E92" s="203"/>
      <c r="F92" s="203"/>
      <c r="G92" s="203"/>
      <c r="H92" s="203"/>
      <c r="I92" s="203"/>
      <c r="J92" s="203"/>
    </row>
    <row r="93" spans="1:10" ht="12">
      <c r="A93" s="203"/>
      <c r="B93" s="203"/>
      <c r="C93" s="203"/>
      <c r="D93" s="203"/>
      <c r="E93" s="203"/>
      <c r="F93" s="203"/>
      <c r="G93" s="203"/>
      <c r="H93" s="203"/>
      <c r="I93" s="203"/>
      <c r="J93" s="203"/>
    </row>
    <row r="94" spans="1:10" ht="12">
      <c r="A94" s="203"/>
      <c r="B94" s="203"/>
      <c r="C94" s="203"/>
      <c r="D94" s="203"/>
      <c r="E94" s="203"/>
      <c r="F94" s="203"/>
      <c r="G94" s="203"/>
      <c r="H94" s="203"/>
      <c r="I94" s="203"/>
      <c r="J94" s="203"/>
    </row>
    <row r="95" spans="1:10" ht="12">
      <c r="A95" s="203"/>
      <c r="B95" s="203"/>
      <c r="C95" s="203"/>
      <c r="D95" s="203"/>
      <c r="E95" s="203"/>
      <c r="F95" s="203"/>
      <c r="G95" s="203"/>
      <c r="H95" s="203"/>
      <c r="I95" s="203"/>
      <c r="J95" s="203"/>
    </row>
    <row r="96" spans="1:10" ht="12">
      <c r="A96" s="203"/>
      <c r="B96" s="203"/>
      <c r="C96" s="203"/>
      <c r="D96" s="203"/>
      <c r="E96" s="203"/>
      <c r="F96" s="203"/>
      <c r="G96" s="203"/>
      <c r="H96" s="203"/>
      <c r="I96" s="203"/>
      <c r="J96" s="203"/>
    </row>
    <row r="97" spans="1:10" ht="12">
      <c r="A97" s="203"/>
      <c r="B97" s="203"/>
      <c r="C97" s="203"/>
      <c r="D97" s="203"/>
      <c r="E97" s="203"/>
      <c r="F97" s="203"/>
      <c r="G97" s="203"/>
      <c r="H97" s="203"/>
      <c r="I97" s="203"/>
      <c r="J97" s="203"/>
    </row>
    <row r="98" spans="1:10" ht="12">
      <c r="A98" s="203"/>
      <c r="B98" s="203"/>
      <c r="C98" s="203"/>
      <c r="D98" s="203"/>
      <c r="E98" s="203"/>
      <c r="F98" s="203"/>
      <c r="G98" s="203"/>
      <c r="H98" s="203"/>
      <c r="I98" s="203"/>
      <c r="J98" s="203"/>
    </row>
    <row r="99" spans="1:10" ht="12">
      <c r="A99" s="203"/>
      <c r="B99" s="203"/>
      <c r="C99" s="203"/>
      <c r="D99" s="203"/>
      <c r="E99" s="203"/>
      <c r="F99" s="203"/>
      <c r="G99" s="203"/>
      <c r="H99" s="203"/>
      <c r="I99" s="203"/>
      <c r="J99" s="203"/>
    </row>
    <row r="100" spans="1:10" ht="12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</row>
    <row r="101" spans="1:10" ht="12">
      <c r="A101" s="203"/>
      <c r="B101" s="203"/>
      <c r="C101" s="203"/>
      <c r="D101" s="203"/>
      <c r="E101" s="203"/>
      <c r="F101" s="203"/>
      <c r="G101" s="203"/>
      <c r="H101" s="203"/>
      <c r="I101" s="203"/>
      <c r="J101" s="205"/>
    </row>
    <row r="102" spans="1:10" ht="12">
      <c r="A102" s="203"/>
      <c r="B102" s="203"/>
      <c r="C102" s="203"/>
      <c r="D102" s="203"/>
      <c r="E102" s="203"/>
      <c r="F102" s="203"/>
      <c r="G102" s="203"/>
      <c r="H102" s="203"/>
      <c r="I102" s="203"/>
      <c r="J102" s="205"/>
    </row>
    <row r="103" spans="1:10" ht="12">
      <c r="A103" s="203"/>
      <c r="B103" s="203"/>
      <c r="C103" s="203"/>
      <c r="D103" s="203"/>
      <c r="E103" s="203"/>
      <c r="F103" s="203"/>
      <c r="G103" s="203"/>
      <c r="H103" s="203"/>
      <c r="I103" s="203"/>
      <c r="J103" s="205"/>
    </row>
    <row r="104" spans="1:10" ht="12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</row>
    <row r="105" spans="1:10" ht="12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</row>
    <row r="106" spans="1:10" ht="12">
      <c r="A106" s="203"/>
      <c r="B106" s="203"/>
      <c r="C106" s="203"/>
      <c r="D106" s="203"/>
      <c r="E106" s="203"/>
      <c r="F106" s="203"/>
      <c r="G106" s="203"/>
      <c r="H106" s="203"/>
      <c r="I106" s="203"/>
      <c r="J106" s="205"/>
    </row>
    <row r="107" spans="1:10" ht="12">
      <c r="A107" s="203"/>
      <c r="B107" s="203"/>
      <c r="C107" s="203"/>
      <c r="D107" s="203"/>
      <c r="E107" s="203"/>
      <c r="F107" s="203"/>
      <c r="G107" s="203"/>
      <c r="H107" s="203"/>
      <c r="I107" s="203"/>
      <c r="J107" s="205"/>
    </row>
    <row r="108" spans="1:10" ht="12">
      <c r="A108" s="203"/>
      <c r="B108" s="203"/>
      <c r="C108" s="203"/>
      <c r="D108" s="203"/>
      <c r="E108" s="203"/>
      <c r="F108" s="203"/>
      <c r="G108" s="203"/>
      <c r="H108" s="203"/>
      <c r="I108" s="203"/>
      <c r="J108" s="205"/>
    </row>
    <row r="109" spans="1:10" ht="12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</row>
    <row r="110" spans="1:10" ht="12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</row>
    <row r="111" spans="1:10" ht="12">
      <c r="A111" s="203"/>
      <c r="B111" s="203"/>
      <c r="C111" s="203"/>
      <c r="D111" s="203"/>
      <c r="E111" s="203"/>
      <c r="F111" s="203"/>
      <c r="G111" s="203"/>
      <c r="H111" s="203"/>
      <c r="I111" s="203"/>
      <c r="J111" s="205"/>
    </row>
    <row r="112" spans="1:10" ht="12">
      <c r="A112" s="203"/>
      <c r="B112" s="203"/>
      <c r="C112" s="203"/>
      <c r="D112" s="203"/>
      <c r="E112" s="203"/>
      <c r="F112" s="203"/>
      <c r="G112" s="203"/>
      <c r="H112" s="203"/>
      <c r="I112" s="203"/>
      <c r="J112" s="205"/>
    </row>
    <row r="113" spans="1:10" ht="12">
      <c r="A113" s="203"/>
      <c r="B113" s="203"/>
      <c r="C113" s="203"/>
      <c r="D113" s="203"/>
      <c r="E113" s="203"/>
      <c r="F113" s="203"/>
      <c r="G113" s="203"/>
      <c r="H113" s="203"/>
      <c r="J113" s="205"/>
    </row>
    <row r="119" ht="12">
      <c r="I119" s="206"/>
    </row>
    <row r="120" spans="7:8" ht="12">
      <c r="G120" s="206"/>
      <c r="H120" s="206"/>
    </row>
    <row r="122" ht="4.5" customHeight="1"/>
    <row r="124" ht="4.5" customHeight="1"/>
    <row r="126" ht="4.5" customHeight="1"/>
    <row r="128" ht="4.5" customHeight="1"/>
    <row r="132" ht="4.5" customHeight="1"/>
    <row r="136" ht="4.5" customHeight="1"/>
    <row r="141" ht="12">
      <c r="F141" s="207"/>
    </row>
    <row r="142" ht="12">
      <c r="F142" s="207"/>
    </row>
    <row r="143" ht="12">
      <c r="F143" s="207"/>
    </row>
    <row r="149" ht="4.5" customHeight="1"/>
    <row r="153" ht="4.5" customHeight="1"/>
    <row r="154" spans="2:3" ht="12">
      <c r="B154" s="208"/>
      <c r="C154" s="208"/>
    </row>
  </sheetData>
  <mergeCells count="6">
    <mergeCell ref="B3:J3"/>
    <mergeCell ref="A6:A8"/>
    <mergeCell ref="B6:I6"/>
    <mergeCell ref="J6:J8"/>
    <mergeCell ref="B7:F7"/>
    <mergeCell ref="G7:I7"/>
  </mergeCells>
  <hyperlinks>
    <hyperlink ref="K9" r:id="rId1" display="=@npv(L8,K9)"/>
    <hyperlink ref="L9" r:id="rId2" display="=@npv(L8,K9)"/>
    <hyperlink ref="K10:K39" r:id="rId3" display="=@npv(L8,K9)"/>
    <hyperlink ref="L10:L39" r:id="rId4" display="=@npv(L8,K9)"/>
    <hyperlink ref="K40" r:id="rId5" display="=@npv(L8,K9)"/>
    <hyperlink ref="L40" r:id="rId6" display="=@npv(L8,K9)"/>
    <hyperlink ref="L41:L78" r:id="rId7" display="=@npv(L8,K9)"/>
    <hyperlink ref="K41:K78" r:id="rId8" display="=@npv(L8,K9)"/>
  </hyperlinks>
  <printOptions/>
  <pageMargins left="0.75" right="0.75" top="1" bottom="1" header="0.5" footer="0.5"/>
  <pageSetup fitToHeight="2" fitToWidth="1" horizontalDpi="600" verticalDpi="600" orientation="landscape" scale="78" r:id="rId9"/>
  <headerFooter alignWithMargins="0">
    <oddFooter>&amp;L&amp;"Braggadocio,Regular"CSP&amp;X2&amp;RPage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31" sqref="H131"/>
    </sheetView>
  </sheetViews>
  <sheetFormatPr defaultColWidth="9.140625" defaultRowHeight="12.75"/>
  <cols>
    <col min="1" max="1" width="15.421875" style="198" customWidth="1"/>
    <col min="2" max="3" width="11.7109375" style="198" customWidth="1"/>
    <col min="4" max="5" width="12.7109375" style="198" customWidth="1"/>
    <col min="6" max="6" width="11.7109375" style="198" bestFit="1" customWidth="1"/>
    <col min="7" max="7" width="13.28125" style="198" customWidth="1"/>
    <col min="8" max="9" width="11.7109375" style="198" customWidth="1"/>
    <col min="10" max="10" width="14.28125" style="198" customWidth="1"/>
    <col min="11" max="12" width="12.7109375" style="198" bestFit="1" customWidth="1"/>
    <col min="13" max="155" width="11.00390625" style="198" bestFit="1" customWidth="1"/>
    <col min="156" max="156" width="12.00390625" style="198" bestFit="1" customWidth="1"/>
    <col min="157" max="16384" width="8.00390625" style="198" customWidth="1"/>
  </cols>
  <sheetData>
    <row r="1" spans="1:10" ht="12">
      <c r="A1" s="195"/>
      <c r="B1" s="196" t="s">
        <v>202</v>
      </c>
      <c r="C1" s="196"/>
      <c r="D1" s="197"/>
      <c r="E1" s="197"/>
      <c r="F1" s="197"/>
      <c r="G1" s="197"/>
      <c r="H1" s="197"/>
      <c r="I1" s="197"/>
      <c r="J1" s="197"/>
    </row>
    <row r="2" spans="2:10" ht="12">
      <c r="B2" s="196" t="s">
        <v>163</v>
      </c>
      <c r="C2" s="196"/>
      <c r="D2" s="197"/>
      <c r="E2" s="197"/>
      <c r="F2" s="197"/>
      <c r="G2" s="197"/>
      <c r="H2" s="197"/>
      <c r="I2" s="197"/>
      <c r="J2" s="197"/>
    </row>
    <row r="3" spans="2:10" ht="12">
      <c r="B3" s="537" t="s">
        <v>650</v>
      </c>
      <c r="C3" s="537"/>
      <c r="D3" s="538"/>
      <c r="E3" s="538"/>
      <c r="F3" s="538"/>
      <c r="G3" s="538"/>
      <c r="H3" s="538"/>
      <c r="I3" s="538"/>
      <c r="J3" s="538"/>
    </row>
    <row r="4" spans="2:10" ht="12">
      <c r="B4" s="196"/>
      <c r="C4" s="196"/>
      <c r="D4" s="197"/>
      <c r="E4" s="197"/>
      <c r="F4" s="197"/>
      <c r="G4" s="197"/>
      <c r="H4" s="197"/>
      <c r="I4" s="197"/>
      <c r="J4" s="197"/>
    </row>
    <row r="6" spans="1:12" ht="12">
      <c r="A6" s="539" t="s">
        <v>97</v>
      </c>
      <c r="B6" s="541" t="s">
        <v>164</v>
      </c>
      <c r="C6" s="541"/>
      <c r="D6" s="541"/>
      <c r="E6" s="541"/>
      <c r="F6" s="541"/>
      <c r="G6" s="542"/>
      <c r="H6" s="542"/>
      <c r="I6" s="542"/>
      <c r="J6" s="543" t="s">
        <v>100</v>
      </c>
      <c r="K6" s="199" t="s">
        <v>165</v>
      </c>
      <c r="L6" s="200" t="s">
        <v>166</v>
      </c>
    </row>
    <row r="7" spans="1:12" ht="12">
      <c r="A7" s="540"/>
      <c r="B7" s="542" t="s">
        <v>95</v>
      </c>
      <c r="C7" s="542"/>
      <c r="D7" s="542"/>
      <c r="E7" s="542"/>
      <c r="F7" s="542"/>
      <c r="G7" s="545" t="s">
        <v>96</v>
      </c>
      <c r="H7" s="546"/>
      <c r="I7" s="547"/>
      <c r="J7" s="544"/>
      <c r="K7" s="201" t="s">
        <v>167</v>
      </c>
      <c r="L7" s="202" t="s">
        <v>168</v>
      </c>
    </row>
    <row r="8" spans="1:12" ht="24">
      <c r="A8" s="540"/>
      <c r="B8" s="209" t="s">
        <v>194</v>
      </c>
      <c r="C8" s="210" t="s">
        <v>267</v>
      </c>
      <c r="D8" s="211" t="s">
        <v>172</v>
      </c>
      <c r="E8" s="209" t="s">
        <v>32</v>
      </c>
      <c r="F8" s="209" t="s">
        <v>98</v>
      </c>
      <c r="G8" s="210" t="s">
        <v>169</v>
      </c>
      <c r="H8" s="209" t="s">
        <v>170</v>
      </c>
      <c r="I8" s="209" t="s">
        <v>171</v>
      </c>
      <c r="J8" s="544"/>
      <c r="K8" s="212">
        <v>0.03</v>
      </c>
      <c r="L8" s="213">
        <v>0.05</v>
      </c>
    </row>
    <row r="9" spans="1:12" ht="12">
      <c r="A9" s="216">
        <v>0</v>
      </c>
      <c r="B9" s="217"/>
      <c r="C9" s="217">
        <f>'Capital Cost Estimate'!$AE$561/2</f>
        <v>1489248.915</v>
      </c>
      <c r="D9" s="217">
        <f>'Capital Cost Estimate'!$AE$578/7</f>
        <v>1784390.2560000003</v>
      </c>
      <c r="E9" s="217"/>
      <c r="F9" s="217"/>
      <c r="G9" s="217">
        <f>'Operating Cost Estimate'!$P$61/100</f>
        <v>1002540</v>
      </c>
      <c r="H9" s="217"/>
      <c r="I9" s="217">
        <f>'Operating Cost Estimate'!$P$67/120</f>
        <v>99259.28833333333</v>
      </c>
      <c r="J9" s="218">
        <f>SUM(B9:I9)</f>
        <v>4375438.459333333</v>
      </c>
      <c r="K9" s="219">
        <f aca="true" t="shared" si="0" ref="K9:K40">($J9*((1+K$8)^A9))</f>
        <v>4375438.459333333</v>
      </c>
      <c r="L9" s="219">
        <f aca="true" t="shared" si="1" ref="L9:L40">J9*((1+K$8-L$8)^A9)</f>
        <v>4375438.459333333</v>
      </c>
    </row>
    <row r="10" spans="1:12" ht="12">
      <c r="A10" s="216">
        <f>1+A9</f>
        <v>1</v>
      </c>
      <c r="B10" s="217">
        <f>'Capital Cost Estimate'!$AE$551/4</f>
        <v>899842.79</v>
      </c>
      <c r="C10" s="217">
        <f>'Capital Cost Estimate'!$AE$561/2</f>
        <v>1489248.915</v>
      </c>
      <c r="D10" s="217">
        <f>'Capital Cost Estimate'!$AE$578/7</f>
        <v>1784390.2560000003</v>
      </c>
      <c r="E10" s="217"/>
      <c r="F10" s="217">
        <f>'Capital Cost Estimate'!$AE$584/100</f>
        <v>30992.6848</v>
      </c>
      <c r="G10" s="217">
        <f>'Operating Cost Estimate'!$P$61/100</f>
        <v>1002540</v>
      </c>
      <c r="H10" s="217"/>
      <c r="I10" s="217">
        <f>'Operating Cost Estimate'!$P$67/120</f>
        <v>99259.28833333333</v>
      </c>
      <c r="J10" s="218">
        <f>SUM(B10:I10)</f>
        <v>5306273.934133333</v>
      </c>
      <c r="K10" s="219">
        <f t="shared" si="0"/>
        <v>5465462.152157334</v>
      </c>
      <c r="L10" s="219">
        <f t="shared" si="1"/>
        <v>5200148.455450666</v>
      </c>
    </row>
    <row r="11" spans="1:12" ht="12">
      <c r="A11" s="216">
        <f>1+A10</f>
        <v>2</v>
      </c>
      <c r="B11" s="217">
        <f>'Capital Cost Estimate'!$AE$551/4</f>
        <v>899842.79</v>
      </c>
      <c r="C11" s="217"/>
      <c r="D11" s="217">
        <f>'Capital Cost Estimate'!$AE$578/7</f>
        <v>1784390.2560000003</v>
      </c>
      <c r="E11" s="217"/>
      <c r="F11" s="217">
        <f>'Capital Cost Estimate'!$AE$584/100</f>
        <v>30992.6848</v>
      </c>
      <c r="G11" s="217">
        <f>'Operating Cost Estimate'!$P$61/100</f>
        <v>1002540</v>
      </c>
      <c r="H11" s="217"/>
      <c r="I11" s="217">
        <f>'Operating Cost Estimate'!$P$67/120</f>
        <v>99259.28833333333</v>
      </c>
      <c r="J11" s="218">
        <f aca="true" t="shared" si="2" ref="J11:J38">SUM(B11:I11)</f>
        <v>3817025.019133333</v>
      </c>
      <c r="K11" s="219">
        <f t="shared" si="0"/>
        <v>4049481.842798553</v>
      </c>
      <c r="L11" s="219">
        <f t="shared" si="1"/>
        <v>3665870.828375653</v>
      </c>
    </row>
    <row r="12" spans="1:12" ht="12">
      <c r="A12" s="216">
        <v>3</v>
      </c>
      <c r="B12" s="217">
        <f>'Capital Cost Estimate'!$AE$551/4</f>
        <v>899842.79</v>
      </c>
      <c r="C12" s="217"/>
      <c r="D12" s="217">
        <f>'Capital Cost Estimate'!$AE$578/7</f>
        <v>1784390.2560000003</v>
      </c>
      <c r="E12" s="217"/>
      <c r="F12" s="217">
        <f>'Capital Cost Estimate'!$AE$584/100</f>
        <v>30992.6848</v>
      </c>
      <c r="G12" s="217">
        <f>'Operating Cost Estimate'!$P$61/100</f>
        <v>1002540</v>
      </c>
      <c r="H12" s="217"/>
      <c r="I12" s="217">
        <f>'Operating Cost Estimate'!$P$67/120</f>
        <v>99259.28833333333</v>
      </c>
      <c r="J12" s="218">
        <f t="shared" si="2"/>
        <v>3817025.019133333</v>
      </c>
      <c r="K12" s="219">
        <f t="shared" si="0"/>
        <v>4170966.2980825095</v>
      </c>
      <c r="L12" s="219">
        <f t="shared" si="1"/>
        <v>3592553.4118081396</v>
      </c>
    </row>
    <row r="13" spans="1:12" ht="12">
      <c r="A13" s="216">
        <v>4</v>
      </c>
      <c r="B13" s="217">
        <f>'Capital Cost Estimate'!$AE$551/4</f>
        <v>899842.79</v>
      </c>
      <c r="C13" s="217"/>
      <c r="D13" s="217">
        <f>'Capital Cost Estimate'!$AE$578/7</f>
        <v>1784390.2560000003</v>
      </c>
      <c r="E13" s="217">
        <f>'Capital Cost Estimate'!$AE$583</f>
        <v>1118.04</v>
      </c>
      <c r="F13" s="217">
        <f>'Capital Cost Estimate'!$AE$584/100</f>
        <v>30992.6848</v>
      </c>
      <c r="G13" s="217">
        <f>'Operating Cost Estimate'!$P$61/100</f>
        <v>1002540</v>
      </c>
      <c r="H13" s="217"/>
      <c r="I13" s="217">
        <f>'Operating Cost Estimate'!$P$67/120</f>
        <v>99259.28833333333</v>
      </c>
      <c r="J13" s="218">
        <f t="shared" si="2"/>
        <v>3818143.059133333</v>
      </c>
      <c r="K13" s="219">
        <f t="shared" si="0"/>
        <v>4297353.650894918</v>
      </c>
      <c r="L13" s="219">
        <f t="shared" si="1"/>
        <v>3521733.5880695833</v>
      </c>
    </row>
    <row r="14" spans="1:12" ht="12">
      <c r="A14" s="216">
        <v>5</v>
      </c>
      <c r="C14" s="217"/>
      <c r="D14" s="217">
        <f>'Capital Cost Estimate'!$AE$578/7</f>
        <v>1784390.2560000003</v>
      </c>
      <c r="E14" s="217"/>
      <c r="F14" s="217">
        <f>'Capital Cost Estimate'!$AE$584/100</f>
        <v>30992.6848</v>
      </c>
      <c r="G14" s="217">
        <f>'Operating Cost Estimate'!$P$61/100</f>
        <v>1002540</v>
      </c>
      <c r="H14" s="217"/>
      <c r="I14" s="217">
        <f>'Operating Cost Estimate'!$P$67/120</f>
        <v>99259.28833333333</v>
      </c>
      <c r="J14" s="218">
        <f t="shared" si="2"/>
        <v>2917182.229133333</v>
      </c>
      <c r="K14" s="219">
        <f t="shared" si="0"/>
        <v>3381813.7282429547</v>
      </c>
      <c r="L14" s="219">
        <f t="shared" si="1"/>
        <v>2636901.684969002</v>
      </c>
    </row>
    <row r="15" spans="1:12" ht="12">
      <c r="A15" s="216">
        <v>6</v>
      </c>
      <c r="B15" s="217"/>
      <c r="C15" s="217"/>
      <c r="D15" s="217"/>
      <c r="E15" s="217"/>
      <c r="F15" s="217">
        <f>'Capital Cost Estimate'!$AE$584/100</f>
        <v>30992.6848</v>
      </c>
      <c r="G15" s="217">
        <f>'Operating Cost Estimate'!$P$61/100</f>
        <v>1002540</v>
      </c>
      <c r="H15" s="217"/>
      <c r="I15" s="217">
        <f>'Operating Cost Estimate'!$P$67/120</f>
        <v>99259.28833333333</v>
      </c>
      <c r="J15" s="218">
        <f t="shared" si="2"/>
        <v>1132791.9731333335</v>
      </c>
      <c r="K15" s="219">
        <f t="shared" si="0"/>
        <v>1352612.857009474</v>
      </c>
      <c r="L15" s="219">
        <f t="shared" si="1"/>
        <v>1003475.1385040602</v>
      </c>
    </row>
    <row r="16" spans="1:12" ht="12">
      <c r="A16" s="216">
        <v>7</v>
      </c>
      <c r="B16" s="217"/>
      <c r="C16" s="217"/>
      <c r="D16" s="217"/>
      <c r="E16" s="217"/>
      <c r="F16" s="217">
        <f>'Capital Cost Estimate'!$AE$584/100</f>
        <v>30992.6848</v>
      </c>
      <c r="G16" s="217">
        <f>'Operating Cost Estimate'!$P$61/100</f>
        <v>1002540</v>
      </c>
      <c r="H16" s="217"/>
      <c r="I16" s="217">
        <f>'Operating Cost Estimate'!$P$67/120</f>
        <v>99259.28833333333</v>
      </c>
      <c r="J16" s="218">
        <f t="shared" si="2"/>
        <v>1132791.9731333335</v>
      </c>
      <c r="K16" s="219">
        <f t="shared" si="0"/>
        <v>1393191.2427197583</v>
      </c>
      <c r="L16" s="219">
        <f t="shared" si="1"/>
        <v>983405.635733979</v>
      </c>
    </row>
    <row r="17" spans="1:12" ht="12">
      <c r="A17" s="216">
        <v>8</v>
      </c>
      <c r="B17" s="217"/>
      <c r="C17" s="217"/>
      <c r="D17" s="217"/>
      <c r="E17" s="217"/>
      <c r="F17" s="217">
        <f>'Capital Cost Estimate'!$AE$584/100</f>
        <v>30992.6848</v>
      </c>
      <c r="G17" s="217">
        <f>'Operating Cost Estimate'!$P$61/100</f>
        <v>1002540</v>
      </c>
      <c r="H17" s="217"/>
      <c r="I17" s="217">
        <f>'Operating Cost Estimate'!$P$67/120</f>
        <v>99259.28833333333</v>
      </c>
      <c r="J17" s="218">
        <f t="shared" si="2"/>
        <v>1132791.9731333335</v>
      </c>
      <c r="K17" s="219">
        <f t="shared" si="0"/>
        <v>1434986.9800013509</v>
      </c>
      <c r="L17" s="219">
        <f t="shared" si="1"/>
        <v>963737.5230192994</v>
      </c>
    </row>
    <row r="18" spans="1:12" ht="12">
      <c r="A18" s="216">
        <v>9</v>
      </c>
      <c r="B18" s="217"/>
      <c r="C18" s="217"/>
      <c r="D18" s="217"/>
      <c r="E18" s="217"/>
      <c r="F18" s="217">
        <f>'Capital Cost Estimate'!$AE$584/100</f>
        <v>30992.6848</v>
      </c>
      <c r="G18" s="217">
        <f>'Operating Cost Estimate'!$P$61/100</f>
        <v>1002540</v>
      </c>
      <c r="H18" s="217"/>
      <c r="I18" s="217">
        <f>'Operating Cost Estimate'!$P$67/120+'Operating Cost Estimate'!$P$50+'Operating Cost Estimate'!$P$53</f>
        <v>2752759.288333333</v>
      </c>
      <c r="J18" s="218">
        <f t="shared" si="2"/>
        <v>3786291.973133333</v>
      </c>
      <c r="K18" s="219">
        <f t="shared" si="0"/>
        <v>4940252.232692291</v>
      </c>
      <c r="L18" s="219">
        <f t="shared" si="1"/>
        <v>3156812.459371265</v>
      </c>
    </row>
    <row r="19" spans="1:12" ht="12">
      <c r="A19" s="216">
        <v>10</v>
      </c>
      <c r="B19" s="217"/>
      <c r="C19" s="217"/>
      <c r="D19" s="217">
        <f>'Capital Cost Estimate'!$AE$578/7</f>
        <v>1784390.2560000003</v>
      </c>
      <c r="E19" s="217"/>
      <c r="F19" s="217">
        <f>'Capital Cost Estimate'!$AE$584/100</f>
        <v>30992.6848</v>
      </c>
      <c r="G19" s="217">
        <f>'Operating Cost Estimate'!$P$61/100</f>
        <v>1002540</v>
      </c>
      <c r="H19" s="217"/>
      <c r="I19" s="217">
        <f>'Operating Cost Estimate'!$P$67/120</f>
        <v>99259.28833333333</v>
      </c>
      <c r="J19" s="218">
        <f t="shared" si="2"/>
        <v>2917182.229133333</v>
      </c>
      <c r="K19" s="219">
        <f t="shared" si="0"/>
        <v>3920448.979263883</v>
      </c>
      <c r="L19" s="219">
        <f t="shared" si="1"/>
        <v>2383550.2721604425</v>
      </c>
    </row>
    <row r="20" spans="1:12" ht="12">
      <c r="A20" s="216">
        <v>11</v>
      </c>
      <c r="B20" s="217"/>
      <c r="C20" s="217"/>
      <c r="D20" s="217"/>
      <c r="E20" s="217"/>
      <c r="F20" s="217">
        <f>'Capital Cost Estimate'!$AE$584/100</f>
        <v>30992.6848</v>
      </c>
      <c r="G20" s="217">
        <f>'Operating Cost Estimate'!$P$61/100</f>
        <v>1002540</v>
      </c>
      <c r="H20" s="217"/>
      <c r="I20" s="217">
        <f>'Operating Cost Estimate'!$P$67/120</f>
        <v>99259.28833333333</v>
      </c>
      <c r="J20" s="218">
        <f t="shared" si="2"/>
        <v>1132791.9731333335</v>
      </c>
      <c r="K20" s="219">
        <f t="shared" si="0"/>
        <v>1568049.0176959364</v>
      </c>
      <c r="L20" s="219">
        <f t="shared" si="1"/>
        <v>907062.0467655803</v>
      </c>
    </row>
    <row r="21" spans="1:12" ht="12">
      <c r="A21" s="216">
        <v>12</v>
      </c>
      <c r="B21" s="217"/>
      <c r="C21" s="217"/>
      <c r="D21" s="217"/>
      <c r="E21" s="217"/>
      <c r="F21" s="217">
        <f>'Capital Cost Estimate'!$AE$584/100</f>
        <v>30992.6848</v>
      </c>
      <c r="G21" s="217">
        <f>'Operating Cost Estimate'!$P$61/100</f>
        <v>1002540</v>
      </c>
      <c r="H21" s="217"/>
      <c r="I21" s="217">
        <f>'Operating Cost Estimate'!$P$67/120</f>
        <v>99259.28833333333</v>
      </c>
      <c r="J21" s="218">
        <f t="shared" si="2"/>
        <v>1132791.9731333335</v>
      </c>
      <c r="K21" s="219">
        <f t="shared" si="0"/>
        <v>1615090.4882268142</v>
      </c>
      <c r="L21" s="219">
        <f t="shared" si="1"/>
        <v>888920.8058302688</v>
      </c>
    </row>
    <row r="22" spans="1:12" ht="12">
      <c r="A22" s="216">
        <v>13</v>
      </c>
      <c r="B22" s="217"/>
      <c r="C22" s="217"/>
      <c r="D22" s="217"/>
      <c r="E22" s="217"/>
      <c r="F22" s="217">
        <f>'Capital Cost Estimate'!$AE$584/100</f>
        <v>30992.6848</v>
      </c>
      <c r="G22" s="217">
        <f>'Operating Cost Estimate'!$P$61/100</f>
        <v>1002540</v>
      </c>
      <c r="H22" s="217"/>
      <c r="I22" s="217">
        <f>'Operating Cost Estimate'!$P$67/120</f>
        <v>99259.28833333333</v>
      </c>
      <c r="J22" s="218">
        <f t="shared" si="2"/>
        <v>1132791.9731333335</v>
      </c>
      <c r="K22" s="219">
        <f t="shared" si="0"/>
        <v>1663543.2028736183</v>
      </c>
      <c r="L22" s="219">
        <f t="shared" si="1"/>
        <v>871142.3897136633</v>
      </c>
    </row>
    <row r="23" spans="1:12" ht="12">
      <c r="A23" s="216">
        <v>14</v>
      </c>
      <c r="B23" s="217"/>
      <c r="C23" s="217"/>
      <c r="D23" s="217"/>
      <c r="E23" s="217"/>
      <c r="F23" s="217">
        <f>'Capital Cost Estimate'!$AE$584/100</f>
        <v>30992.6848</v>
      </c>
      <c r="G23" s="217">
        <f>'Operating Cost Estimate'!$P$61/100</f>
        <v>1002540</v>
      </c>
      <c r="H23" s="217"/>
      <c r="I23" s="217">
        <f>'Operating Cost Estimate'!$P$67/120</f>
        <v>99259.28833333333</v>
      </c>
      <c r="J23" s="218">
        <f t="shared" si="2"/>
        <v>1132791.9731333335</v>
      </c>
      <c r="K23" s="219">
        <f t="shared" si="0"/>
        <v>1713449.4989598272</v>
      </c>
      <c r="L23" s="219">
        <f t="shared" si="1"/>
        <v>853719.54191939</v>
      </c>
    </row>
    <row r="24" spans="1:12" ht="12">
      <c r="A24" s="216">
        <v>15</v>
      </c>
      <c r="B24" s="217"/>
      <c r="C24" s="217"/>
      <c r="D24" s="217"/>
      <c r="E24" s="217"/>
      <c r="F24" s="217">
        <f>'Capital Cost Estimate'!$AE$584/100</f>
        <v>30992.6848</v>
      </c>
      <c r="G24" s="217">
        <f>'Operating Cost Estimate'!$P$61/100</f>
        <v>1002540</v>
      </c>
      <c r="H24" s="217"/>
      <c r="I24" s="217">
        <f>'Operating Cost Estimate'!$P$67/120</f>
        <v>99259.28833333333</v>
      </c>
      <c r="J24" s="218">
        <f t="shared" si="2"/>
        <v>1132791.9731333335</v>
      </c>
      <c r="K24" s="219">
        <f t="shared" si="0"/>
        <v>1764852.9839286222</v>
      </c>
      <c r="L24" s="219">
        <f t="shared" si="1"/>
        <v>836645.1510810022</v>
      </c>
    </row>
    <row r="25" spans="1:12" ht="12">
      <c r="A25" s="216">
        <v>16</v>
      </c>
      <c r="B25" s="217"/>
      <c r="C25" s="217"/>
      <c r="D25" s="217"/>
      <c r="E25" s="217"/>
      <c r="F25" s="217">
        <f>'Capital Cost Estimate'!$AE$584/100</f>
        <v>30992.6848</v>
      </c>
      <c r="G25" s="217">
        <f>'Operating Cost Estimate'!$P$61/100</f>
        <v>1002540</v>
      </c>
      <c r="H25" s="217"/>
      <c r="I25" s="217">
        <f>'Operating Cost Estimate'!$P$67/120</f>
        <v>99259.28833333333</v>
      </c>
      <c r="J25" s="218">
        <f t="shared" si="2"/>
        <v>1132791.9731333335</v>
      </c>
      <c r="K25" s="219">
        <f t="shared" si="0"/>
        <v>1817798.5734464806</v>
      </c>
      <c r="L25" s="219">
        <f t="shared" si="1"/>
        <v>819912.2480593822</v>
      </c>
    </row>
    <row r="26" spans="1:12" ht="12">
      <c r="A26" s="216">
        <v>17</v>
      </c>
      <c r="B26" s="217"/>
      <c r="C26" s="217"/>
      <c r="D26" s="217"/>
      <c r="E26" s="217"/>
      <c r="F26" s="217">
        <f>'Capital Cost Estimate'!$AE$584/100</f>
        <v>30992.6848</v>
      </c>
      <c r="G26" s="217">
        <f>'Operating Cost Estimate'!$P$61/100</f>
        <v>1002540</v>
      </c>
      <c r="H26" s="217"/>
      <c r="I26" s="217">
        <f>'Operating Cost Estimate'!$P$67/120</f>
        <v>99259.28833333333</v>
      </c>
      <c r="J26" s="218">
        <f t="shared" si="2"/>
        <v>1132791.9731333335</v>
      </c>
      <c r="K26" s="219">
        <f t="shared" si="0"/>
        <v>1872332.5306498748</v>
      </c>
      <c r="L26" s="219">
        <f t="shared" si="1"/>
        <v>803514.0030981945</v>
      </c>
    </row>
    <row r="27" spans="1:12" ht="12">
      <c r="A27" s="216">
        <v>18</v>
      </c>
      <c r="B27" s="217"/>
      <c r="C27" s="217"/>
      <c r="D27" s="217"/>
      <c r="E27" s="217"/>
      <c r="F27" s="217">
        <f>'Capital Cost Estimate'!$AE$584/100</f>
        <v>30992.6848</v>
      </c>
      <c r="G27" s="217">
        <f>'Operating Cost Estimate'!$P$61/100</f>
        <v>1002540</v>
      </c>
      <c r="H27" s="217"/>
      <c r="I27" s="217">
        <f>'Operating Cost Estimate'!$P$67/120</f>
        <v>99259.28833333333</v>
      </c>
      <c r="J27" s="218">
        <f t="shared" si="2"/>
        <v>1132791.9731333335</v>
      </c>
      <c r="K27" s="219">
        <f t="shared" si="0"/>
        <v>1928502.506569371</v>
      </c>
      <c r="L27" s="219">
        <f t="shared" si="1"/>
        <v>787443.7230362305</v>
      </c>
    </row>
    <row r="28" spans="1:12" ht="12">
      <c r="A28" s="216">
        <v>19</v>
      </c>
      <c r="B28" s="217"/>
      <c r="C28" s="217"/>
      <c r="D28" s="217"/>
      <c r="E28" s="217"/>
      <c r="F28" s="217">
        <f>'Capital Cost Estimate'!$AE$584/100</f>
        <v>30992.6848</v>
      </c>
      <c r="G28" s="217">
        <f>'Operating Cost Estimate'!$P$61/100</f>
        <v>1002540</v>
      </c>
      <c r="H28" s="217"/>
      <c r="I28" s="217">
        <f>'Operating Cost Estimate'!$P$67/120+'Operating Cost Estimate'!$P$51</f>
        <v>752759.2883333333</v>
      </c>
      <c r="J28" s="218">
        <f t="shared" si="2"/>
        <v>1786291.9731333335</v>
      </c>
      <c r="K28" s="219">
        <f t="shared" si="0"/>
        <v>3132273.7874523373</v>
      </c>
      <c r="L28" s="219">
        <f t="shared" si="1"/>
        <v>1216880.3685162754</v>
      </c>
    </row>
    <row r="29" spans="1:12" ht="12">
      <c r="A29" s="216">
        <v>20</v>
      </c>
      <c r="B29" s="217"/>
      <c r="C29" s="217"/>
      <c r="D29" s="217"/>
      <c r="E29" s="217"/>
      <c r="F29" s="217">
        <f>'Capital Cost Estimate'!$AE$584/100</f>
        <v>30992.6848</v>
      </c>
      <c r="G29" s="217">
        <f>'Operating Cost Estimate'!$P$61/100</f>
        <v>1002540</v>
      </c>
      <c r="H29" s="217"/>
      <c r="I29" s="217">
        <f>'Operating Cost Estimate'!$P$67/120</f>
        <v>99259.28833333333</v>
      </c>
      <c r="J29" s="218">
        <f t="shared" si="2"/>
        <v>1132791.9731333335</v>
      </c>
      <c r="K29" s="219">
        <f t="shared" si="0"/>
        <v>2045948.3092194458</v>
      </c>
      <c r="L29" s="219">
        <f t="shared" si="1"/>
        <v>756260.9516039959</v>
      </c>
    </row>
    <row r="30" spans="1:12" ht="12">
      <c r="A30" s="216">
        <v>21</v>
      </c>
      <c r="B30" s="217"/>
      <c r="C30" s="217"/>
      <c r="D30" s="217"/>
      <c r="E30" s="217"/>
      <c r="F30" s="217">
        <f>'Capital Cost Estimate'!$AE$584/100</f>
        <v>30992.6848</v>
      </c>
      <c r="G30" s="217">
        <f>'Operating Cost Estimate'!$P$61/100</f>
        <v>1002540</v>
      </c>
      <c r="H30" s="217"/>
      <c r="I30" s="217">
        <f>'Operating Cost Estimate'!$P$67/120</f>
        <v>99259.28833333333</v>
      </c>
      <c r="J30" s="218">
        <f t="shared" si="2"/>
        <v>1132791.9731333335</v>
      </c>
      <c r="K30" s="219">
        <f t="shared" si="0"/>
        <v>2107326.758496029</v>
      </c>
      <c r="L30" s="219">
        <f t="shared" si="1"/>
        <v>741135.7325719158</v>
      </c>
    </row>
    <row r="31" spans="1:12" ht="12">
      <c r="A31" s="216">
        <v>22</v>
      </c>
      <c r="B31" s="217"/>
      <c r="C31" s="217"/>
      <c r="D31" s="217"/>
      <c r="E31" s="217"/>
      <c r="F31" s="217">
        <f>'Capital Cost Estimate'!$AE$584/100</f>
        <v>30992.6848</v>
      </c>
      <c r="G31" s="217">
        <f>'Operating Cost Estimate'!$P$61/100</f>
        <v>1002540</v>
      </c>
      <c r="H31" s="217"/>
      <c r="I31" s="217">
        <f>'Operating Cost Estimate'!$P$67/120</f>
        <v>99259.28833333333</v>
      </c>
      <c r="J31" s="218">
        <f t="shared" si="2"/>
        <v>1132791.9731333335</v>
      </c>
      <c r="K31" s="219">
        <f t="shared" si="0"/>
        <v>2170546.56125091</v>
      </c>
      <c r="L31" s="219">
        <f t="shared" si="1"/>
        <v>726313.0179204775</v>
      </c>
    </row>
    <row r="32" spans="1:12" ht="12">
      <c r="A32" s="216">
        <v>23</v>
      </c>
      <c r="B32" s="217"/>
      <c r="C32" s="217"/>
      <c r="D32" s="217"/>
      <c r="E32" s="217"/>
      <c r="F32" s="217">
        <f>'Capital Cost Estimate'!$AE$584/100</f>
        <v>30992.6848</v>
      </c>
      <c r="G32" s="217">
        <f>'Operating Cost Estimate'!$P$61/100</f>
        <v>1002540</v>
      </c>
      <c r="H32" s="217"/>
      <c r="I32" s="217">
        <f>'Operating Cost Estimate'!$P$67/120</f>
        <v>99259.28833333333</v>
      </c>
      <c r="J32" s="218">
        <f t="shared" si="2"/>
        <v>1132791.9731333335</v>
      </c>
      <c r="K32" s="219">
        <f t="shared" si="0"/>
        <v>2235662.9580884376</v>
      </c>
      <c r="L32" s="219">
        <f t="shared" si="1"/>
        <v>711786.7575620679</v>
      </c>
    </row>
    <row r="33" spans="1:12" ht="12">
      <c r="A33" s="216">
        <v>24</v>
      </c>
      <c r="B33" s="217"/>
      <c r="C33" s="217"/>
      <c r="D33" s="217"/>
      <c r="E33" s="217"/>
      <c r="F33" s="217">
        <f>'Capital Cost Estimate'!$AE$584/100</f>
        <v>30992.6848</v>
      </c>
      <c r="G33" s="217">
        <f>'Operating Cost Estimate'!$P$61/100</f>
        <v>1002540</v>
      </c>
      <c r="H33" s="217"/>
      <c r="I33" s="217">
        <f>'Operating Cost Estimate'!$P$67/120</f>
        <v>99259.28833333333</v>
      </c>
      <c r="J33" s="218">
        <f t="shared" si="2"/>
        <v>1132791.9731333335</v>
      </c>
      <c r="K33" s="219">
        <f t="shared" si="0"/>
        <v>2302732.8468310903</v>
      </c>
      <c r="L33" s="219">
        <f t="shared" si="1"/>
        <v>697551.0224108266</v>
      </c>
    </row>
    <row r="34" spans="1:12" ht="12">
      <c r="A34" s="216">
        <v>25</v>
      </c>
      <c r="B34" s="217"/>
      <c r="C34" s="217"/>
      <c r="D34" s="217"/>
      <c r="E34" s="217"/>
      <c r="F34" s="217">
        <f>'Capital Cost Estimate'!$AE$584/100</f>
        <v>30992.6848</v>
      </c>
      <c r="G34" s="217">
        <f>'Operating Cost Estimate'!$P$61/100</f>
        <v>1002540</v>
      </c>
      <c r="H34" s="217"/>
      <c r="I34" s="217">
        <f>'Operating Cost Estimate'!$P$67/120</f>
        <v>99259.28833333333</v>
      </c>
      <c r="J34" s="218">
        <f t="shared" si="2"/>
        <v>1132791.9731333335</v>
      </c>
      <c r="K34" s="219">
        <f t="shared" si="0"/>
        <v>2371814.8322360227</v>
      </c>
      <c r="L34" s="219">
        <f t="shared" si="1"/>
        <v>683600.0019626099</v>
      </c>
    </row>
    <row r="35" spans="1:12" ht="12">
      <c r="A35" s="216">
        <v>26</v>
      </c>
      <c r="B35" s="217"/>
      <c r="C35" s="217"/>
      <c r="D35" s="217"/>
      <c r="E35" s="217"/>
      <c r="F35" s="217">
        <f>'Capital Cost Estimate'!$AE$584/100</f>
        <v>30992.6848</v>
      </c>
      <c r="G35" s="217">
        <f>'Operating Cost Estimate'!$P$61/100</f>
        <v>1002540</v>
      </c>
      <c r="H35" s="217"/>
      <c r="I35" s="217">
        <f>'Operating Cost Estimate'!$P$67/120</f>
        <v>99259.28833333333</v>
      </c>
      <c r="J35" s="218">
        <f t="shared" si="2"/>
        <v>1132791.9731333335</v>
      </c>
      <c r="K35" s="219">
        <f t="shared" si="0"/>
        <v>2442969.277203104</v>
      </c>
      <c r="L35" s="219">
        <f t="shared" si="1"/>
        <v>669928.0019233578</v>
      </c>
    </row>
    <row r="36" spans="1:12" ht="12">
      <c r="A36" s="216">
        <v>27</v>
      </c>
      <c r="B36" s="217"/>
      <c r="C36" s="217"/>
      <c r="D36" s="217"/>
      <c r="E36" s="217"/>
      <c r="F36" s="217">
        <f>'Capital Cost Estimate'!$AE$584/100</f>
        <v>30992.6848</v>
      </c>
      <c r="G36" s="217">
        <f>'Operating Cost Estimate'!$P$61/100</f>
        <v>1002540</v>
      </c>
      <c r="H36" s="217"/>
      <c r="I36" s="217">
        <f>'Operating Cost Estimate'!$P$67/120</f>
        <v>99259.28833333333</v>
      </c>
      <c r="J36" s="218">
        <f t="shared" si="2"/>
        <v>1132791.9731333335</v>
      </c>
      <c r="K36" s="219">
        <f t="shared" si="0"/>
        <v>2516258.3555191965</v>
      </c>
      <c r="L36" s="219">
        <f t="shared" si="1"/>
        <v>656529.4418848905</v>
      </c>
    </row>
    <row r="37" spans="1:12" ht="12">
      <c r="A37" s="216">
        <v>28</v>
      </c>
      <c r="B37" s="217"/>
      <c r="C37" s="217"/>
      <c r="D37" s="217"/>
      <c r="E37" s="217"/>
      <c r="F37" s="217">
        <f>'Capital Cost Estimate'!$AE$584/100</f>
        <v>30992.6848</v>
      </c>
      <c r="G37" s="217">
        <f>'Operating Cost Estimate'!$P$61/100</f>
        <v>1002540</v>
      </c>
      <c r="H37" s="217"/>
      <c r="I37" s="217">
        <f>'Operating Cost Estimate'!$P$67/120</f>
        <v>99259.28833333333</v>
      </c>
      <c r="J37" s="218">
        <f t="shared" si="2"/>
        <v>1132791.9731333335</v>
      </c>
      <c r="K37" s="219">
        <f t="shared" si="0"/>
        <v>2591746.1061847727</v>
      </c>
      <c r="L37" s="219">
        <f t="shared" si="1"/>
        <v>643398.8530471927</v>
      </c>
    </row>
    <row r="38" spans="1:12" ht="12">
      <c r="A38" s="216">
        <v>29</v>
      </c>
      <c r="B38" s="217"/>
      <c r="C38" s="217"/>
      <c r="D38" s="217"/>
      <c r="E38" s="217"/>
      <c r="F38" s="217">
        <f>'Capital Cost Estimate'!$AE$584/100</f>
        <v>30992.6848</v>
      </c>
      <c r="G38" s="217">
        <f>'Operating Cost Estimate'!$P$61/100</f>
        <v>1002540</v>
      </c>
      <c r="H38" s="217"/>
      <c r="I38" s="217">
        <f>'Operating Cost Estimate'!$P$67/120</f>
        <v>99259.28833333333</v>
      </c>
      <c r="J38" s="218">
        <f t="shared" si="2"/>
        <v>1132791.9731333335</v>
      </c>
      <c r="K38" s="219">
        <f t="shared" si="0"/>
        <v>2669498.4893703153</v>
      </c>
      <c r="L38" s="219">
        <f t="shared" si="1"/>
        <v>630530.875986249</v>
      </c>
    </row>
    <row r="39" spans="1:12" ht="12">
      <c r="A39" s="216">
        <v>30</v>
      </c>
      <c r="B39" s="217"/>
      <c r="C39" s="217"/>
      <c r="D39" s="217"/>
      <c r="E39" s="217"/>
      <c r="F39" s="217">
        <f>'Capital Cost Estimate'!$AE$584/100</f>
        <v>30992.6848</v>
      </c>
      <c r="G39" s="217">
        <f>'Operating Cost Estimate'!$P$61/100</f>
        <v>1002540</v>
      </c>
      <c r="H39" s="217"/>
      <c r="I39" s="217">
        <f>'Operating Cost Estimate'!$P$67/120</f>
        <v>99259.28833333333</v>
      </c>
      <c r="J39" s="218">
        <f>SUM(B39:I39)</f>
        <v>1132791.9731333335</v>
      </c>
      <c r="K39" s="219">
        <f t="shared" si="0"/>
        <v>2749583.444051425</v>
      </c>
      <c r="L39" s="219">
        <f t="shared" si="1"/>
        <v>617920.258466524</v>
      </c>
    </row>
    <row r="40" spans="1:12" ht="12">
      <c r="A40" s="216">
        <v>31</v>
      </c>
      <c r="B40" s="217"/>
      <c r="C40" s="217"/>
      <c r="D40" s="217"/>
      <c r="E40" s="217"/>
      <c r="F40" s="217">
        <f>'Capital Cost Estimate'!$AE$584/100</f>
        <v>30992.6848</v>
      </c>
      <c r="G40" s="217">
        <f>'Operating Cost Estimate'!$P$61/100</f>
        <v>1002540</v>
      </c>
      <c r="H40" s="217"/>
      <c r="I40" s="217">
        <f>'Operating Cost Estimate'!$P$67/120</f>
        <v>99259.28833333333</v>
      </c>
      <c r="J40" s="218">
        <f>SUM(B40:I40)</f>
        <v>1132791.9731333335</v>
      </c>
      <c r="K40" s="219">
        <f t="shared" si="0"/>
        <v>2832070.9473729683</v>
      </c>
      <c r="L40" s="219">
        <f t="shared" si="1"/>
        <v>605561.8532971934</v>
      </c>
    </row>
    <row r="41" spans="1:12" ht="12">
      <c r="A41" s="216">
        <v>32</v>
      </c>
      <c r="B41" s="217"/>
      <c r="C41" s="217"/>
      <c r="D41" s="217"/>
      <c r="E41" s="217"/>
      <c r="F41" s="217">
        <f>'Capital Cost Estimate'!$AE$584/100</f>
        <v>30992.6848</v>
      </c>
      <c r="G41" s="217">
        <f>'Operating Cost Estimate'!$P$61/100</f>
        <v>1002540</v>
      </c>
      <c r="H41" s="217"/>
      <c r="I41" s="217">
        <f>'Operating Cost Estimate'!$P$67/120</f>
        <v>99259.28833333333</v>
      </c>
      <c r="J41" s="218">
        <f aca="true" t="shared" si="3" ref="J41:J104">SUM(B41:I41)</f>
        <v>1132791.9731333335</v>
      </c>
      <c r="K41" s="219">
        <f aca="true" t="shared" si="4" ref="K41:K72">($J41*((1+K$8)^A41))</f>
        <v>2917033.0757941566</v>
      </c>
      <c r="L41" s="219">
        <f aca="true" t="shared" si="5" ref="L41:L72">J41*((1+K$8-L$8)^A41)</f>
        <v>593450.6162312495</v>
      </c>
    </row>
    <row r="42" spans="1:12" ht="12">
      <c r="A42" s="216">
        <v>33</v>
      </c>
      <c r="B42" s="217"/>
      <c r="C42" s="217"/>
      <c r="D42" s="217"/>
      <c r="E42" s="217"/>
      <c r="F42" s="217">
        <f>'Capital Cost Estimate'!$AE$584/100</f>
        <v>30992.6848</v>
      </c>
      <c r="G42" s="217">
        <f>'Operating Cost Estimate'!$P$61/100</f>
        <v>1002540</v>
      </c>
      <c r="H42" s="217"/>
      <c r="I42" s="217">
        <f>'Operating Cost Estimate'!$P$67/120</f>
        <v>99259.28833333333</v>
      </c>
      <c r="J42" s="218">
        <f t="shared" si="3"/>
        <v>1132791.9731333335</v>
      </c>
      <c r="K42" s="219">
        <f t="shared" si="4"/>
        <v>3004544.0680679814</v>
      </c>
      <c r="L42" s="219">
        <f t="shared" si="5"/>
        <v>581581.6039066246</v>
      </c>
    </row>
    <row r="43" spans="1:12" ht="12">
      <c r="A43" s="216">
        <v>34</v>
      </c>
      <c r="B43" s="217"/>
      <c r="C43" s="217"/>
      <c r="D43" s="217"/>
      <c r="E43" s="217"/>
      <c r="F43" s="217">
        <f>'Capital Cost Estimate'!$AE$584/100</f>
        <v>30992.6848</v>
      </c>
      <c r="G43" s="217">
        <f>'Operating Cost Estimate'!$P$61/100</f>
        <v>1002540</v>
      </c>
      <c r="H43" s="217"/>
      <c r="I43" s="217">
        <f>'Operating Cost Estimate'!$P$67/120</f>
        <v>99259.28833333333</v>
      </c>
      <c r="J43" s="218">
        <f t="shared" si="3"/>
        <v>1132791.9731333335</v>
      </c>
      <c r="K43" s="219">
        <f t="shared" si="4"/>
        <v>3094680.3901100205</v>
      </c>
      <c r="L43" s="219">
        <f t="shared" si="5"/>
        <v>569949.971828492</v>
      </c>
    </row>
    <row r="44" spans="1:12" ht="12">
      <c r="A44" s="216">
        <v>35</v>
      </c>
      <c r="B44" s="217"/>
      <c r="C44" s="217"/>
      <c r="D44" s="217"/>
      <c r="E44" s="217"/>
      <c r="F44" s="217">
        <f>'Capital Cost Estimate'!$AE$584/100</f>
        <v>30992.6848</v>
      </c>
      <c r="G44" s="217">
        <f>'Operating Cost Estimate'!$P$61/100</f>
        <v>1002540</v>
      </c>
      <c r="H44" s="217"/>
      <c r="I44" s="217">
        <f>'Operating Cost Estimate'!$P$67/120</f>
        <v>99259.28833333333</v>
      </c>
      <c r="J44" s="218">
        <f t="shared" si="3"/>
        <v>1132791.9731333335</v>
      </c>
      <c r="K44" s="219">
        <f t="shared" si="4"/>
        <v>3187520.8018133217</v>
      </c>
      <c r="L44" s="219">
        <f t="shared" si="5"/>
        <v>558550.9723919221</v>
      </c>
    </row>
    <row r="45" spans="1:12" ht="12">
      <c r="A45" s="216">
        <v>36</v>
      </c>
      <c r="B45" s="217"/>
      <c r="C45" s="217"/>
      <c r="D45" s="217"/>
      <c r="E45" s="217"/>
      <c r="F45" s="217">
        <f>'Capital Cost Estimate'!$AE$584/100</f>
        <v>30992.6848</v>
      </c>
      <c r="G45" s="217">
        <f>'Operating Cost Estimate'!$P$61/100</f>
        <v>1002540</v>
      </c>
      <c r="H45" s="217"/>
      <c r="I45" s="217">
        <f>'Operating Cost Estimate'!$P$67/120</f>
        <v>99259.28833333333</v>
      </c>
      <c r="J45" s="218">
        <f t="shared" si="3"/>
        <v>1132791.9731333335</v>
      </c>
      <c r="K45" s="219">
        <f t="shared" si="4"/>
        <v>3283146.425867721</v>
      </c>
      <c r="L45" s="219">
        <f t="shared" si="5"/>
        <v>547379.9529440836</v>
      </c>
    </row>
    <row r="46" spans="1:12" ht="12">
      <c r="A46" s="216">
        <v>37</v>
      </c>
      <c r="B46" s="217"/>
      <c r="C46" s="217"/>
      <c r="D46" s="217"/>
      <c r="E46" s="217"/>
      <c r="F46" s="217">
        <f>'Capital Cost Estimate'!$AE$584/100</f>
        <v>30992.6848</v>
      </c>
      <c r="G46" s="217">
        <f>'Operating Cost Estimate'!$P$61/100</f>
        <v>1002540</v>
      </c>
      <c r="H46" s="217"/>
      <c r="I46" s="217">
        <f>'Operating Cost Estimate'!$P$67/120</f>
        <v>99259.28833333333</v>
      </c>
      <c r="J46" s="218">
        <f t="shared" si="3"/>
        <v>1132791.9731333335</v>
      </c>
      <c r="K46" s="219">
        <f t="shared" si="4"/>
        <v>3381640.818643752</v>
      </c>
      <c r="L46" s="219">
        <f t="shared" si="5"/>
        <v>536432.353885202</v>
      </c>
    </row>
    <row r="47" spans="1:12" ht="12">
      <c r="A47" s="216">
        <v>38</v>
      </c>
      <c r="B47" s="217"/>
      <c r="C47" s="217"/>
      <c r="D47" s="217"/>
      <c r="E47" s="217"/>
      <c r="F47" s="217">
        <f>'Capital Cost Estimate'!$AE$584/100</f>
        <v>30992.6848</v>
      </c>
      <c r="G47" s="217">
        <f>'Operating Cost Estimate'!$P$61/100</f>
        <v>1002540</v>
      </c>
      <c r="H47" s="217"/>
      <c r="I47" s="217">
        <f>'Operating Cost Estimate'!$P$67/120</f>
        <v>99259.28833333333</v>
      </c>
      <c r="J47" s="218">
        <f t="shared" si="3"/>
        <v>1132791.9731333335</v>
      </c>
      <c r="K47" s="219">
        <f t="shared" si="4"/>
        <v>3483090.0432030647</v>
      </c>
      <c r="L47" s="219">
        <f t="shared" si="5"/>
        <v>525703.7068074979</v>
      </c>
    </row>
    <row r="48" spans="1:12" ht="12">
      <c r="A48" s="216">
        <v>39</v>
      </c>
      <c r="B48" s="217"/>
      <c r="C48" s="217"/>
      <c r="D48" s="217"/>
      <c r="E48" s="217"/>
      <c r="F48" s="217">
        <f>'Capital Cost Estimate'!$AE$584/100</f>
        <v>30992.6848</v>
      </c>
      <c r="G48" s="217">
        <f>'Operating Cost Estimate'!$P$61/100</f>
        <v>1002540</v>
      </c>
      <c r="H48" s="217"/>
      <c r="I48" s="217">
        <f>'Operating Cost Estimate'!$P$67/120+'Operating Cost Estimate'!$P$52</f>
        <v>1406259.2883333333</v>
      </c>
      <c r="J48" s="218">
        <f t="shared" si="3"/>
        <v>2439791.9731333335</v>
      </c>
      <c r="K48" s="219">
        <f t="shared" si="4"/>
        <v>7726887.010657203</v>
      </c>
      <c r="L48" s="219">
        <f t="shared" si="5"/>
        <v>1109608.436716136</v>
      </c>
    </row>
    <row r="49" spans="1:12" ht="12">
      <c r="A49" s="216">
        <v>40</v>
      </c>
      <c r="B49" s="217"/>
      <c r="C49" s="217"/>
      <c r="D49" s="217"/>
      <c r="E49" s="217"/>
      <c r="F49" s="217">
        <f>'Capital Cost Estimate'!$AE$584/100</f>
        <v>30992.6848</v>
      </c>
      <c r="G49" s="217">
        <f>'Operating Cost Estimate'!$P$61/100</f>
        <v>1002540</v>
      </c>
      <c r="H49" s="217"/>
      <c r="I49" s="217">
        <f>'Operating Cost Estimate'!$P$67/120</f>
        <v>99259.28833333333</v>
      </c>
      <c r="J49" s="218">
        <f t="shared" si="3"/>
        <v>1132791.9731333335</v>
      </c>
      <c r="K49" s="219">
        <f t="shared" si="4"/>
        <v>3695210.2268341314</v>
      </c>
      <c r="L49" s="219">
        <f t="shared" si="5"/>
        <v>504885.84001792094</v>
      </c>
    </row>
    <row r="50" spans="1:12" ht="12">
      <c r="A50" s="216">
        <v>41</v>
      </c>
      <c r="B50" s="217"/>
      <c r="C50" s="217"/>
      <c r="D50" s="217"/>
      <c r="E50" s="217"/>
      <c r="F50" s="217">
        <f>'Capital Cost Estimate'!$AE$584/100</f>
        <v>30992.6848</v>
      </c>
      <c r="G50" s="217">
        <f>'Operating Cost Estimate'!$P$61/100</f>
        <v>1002540</v>
      </c>
      <c r="H50" s="217"/>
      <c r="I50" s="217">
        <f>'Operating Cost Estimate'!$P$67/120</f>
        <v>99259.28833333333</v>
      </c>
      <c r="J50" s="218">
        <f t="shared" si="3"/>
        <v>1132791.9731333335</v>
      </c>
      <c r="K50" s="219">
        <f t="shared" si="4"/>
        <v>3806066.5336391553</v>
      </c>
      <c r="L50" s="219">
        <f t="shared" si="5"/>
        <v>494788.12321756256</v>
      </c>
    </row>
    <row r="51" spans="1:12" ht="12">
      <c r="A51" s="216">
        <v>42</v>
      </c>
      <c r="B51" s="217"/>
      <c r="C51" s="217"/>
      <c r="D51" s="217"/>
      <c r="E51" s="217"/>
      <c r="F51" s="217">
        <f>'Capital Cost Estimate'!$AE$584/100</f>
        <v>30992.6848</v>
      </c>
      <c r="G51" s="217">
        <f>'Operating Cost Estimate'!$P$61/100</f>
        <v>1002540</v>
      </c>
      <c r="H51" s="217"/>
      <c r="I51" s="217">
        <f>'Operating Cost Estimate'!$P$67/120</f>
        <v>99259.28833333333</v>
      </c>
      <c r="J51" s="218">
        <f t="shared" si="3"/>
        <v>1132791.9731333335</v>
      </c>
      <c r="K51" s="219">
        <f t="shared" si="4"/>
        <v>3920248.5296483305</v>
      </c>
      <c r="L51" s="219">
        <f t="shared" si="5"/>
        <v>484892.36075321125</v>
      </c>
    </row>
    <row r="52" spans="1:12" ht="12">
      <c r="A52" s="216">
        <v>43</v>
      </c>
      <c r="B52" s="217"/>
      <c r="C52" s="217"/>
      <c r="D52" s="217"/>
      <c r="E52" s="217"/>
      <c r="F52" s="217">
        <f>'Capital Cost Estimate'!$AE$584/100</f>
        <v>30992.6848</v>
      </c>
      <c r="G52" s="217">
        <f>'Operating Cost Estimate'!$P$61/100</f>
        <v>1002540</v>
      </c>
      <c r="H52" s="217"/>
      <c r="I52" s="217">
        <f>'Operating Cost Estimate'!$P$67/120</f>
        <v>99259.28833333333</v>
      </c>
      <c r="J52" s="218">
        <f t="shared" si="3"/>
        <v>1132791.9731333335</v>
      </c>
      <c r="K52" s="219">
        <f t="shared" si="4"/>
        <v>4037855.98553778</v>
      </c>
      <c r="L52" s="219">
        <f t="shared" si="5"/>
        <v>475194.51353814703</v>
      </c>
    </row>
    <row r="53" spans="1:12" ht="12">
      <c r="A53" s="216">
        <v>44</v>
      </c>
      <c r="B53" s="217"/>
      <c r="C53" s="217"/>
      <c r="D53" s="217"/>
      <c r="E53" s="217"/>
      <c r="F53" s="217">
        <f>'Capital Cost Estimate'!$AE$584/100</f>
        <v>30992.6848</v>
      </c>
      <c r="G53" s="217">
        <f>'Operating Cost Estimate'!$P$61/100</f>
        <v>1002540</v>
      </c>
      <c r="H53" s="217"/>
      <c r="I53" s="217">
        <f>'Operating Cost Estimate'!$P$67/120</f>
        <v>99259.28833333333</v>
      </c>
      <c r="J53" s="218">
        <f t="shared" si="3"/>
        <v>1132791.9731333335</v>
      </c>
      <c r="K53" s="219">
        <f t="shared" si="4"/>
        <v>4158991.665103913</v>
      </c>
      <c r="L53" s="219">
        <f t="shared" si="5"/>
        <v>465690.6232673841</v>
      </c>
    </row>
    <row r="54" spans="1:12" ht="12">
      <c r="A54" s="216">
        <v>45</v>
      </c>
      <c r="B54" s="217"/>
      <c r="C54" s="217"/>
      <c r="D54" s="217"/>
      <c r="E54" s="217"/>
      <c r="F54" s="217">
        <f>'Capital Cost Estimate'!$AE$584/100</f>
        <v>30992.6848</v>
      </c>
      <c r="G54" s="217">
        <f>'Operating Cost Estimate'!$P$61/100</f>
        <v>1002540</v>
      </c>
      <c r="H54" s="217"/>
      <c r="I54" s="217">
        <f>'Operating Cost Estimate'!$P$67/120</f>
        <v>99259.28833333333</v>
      </c>
      <c r="J54" s="218">
        <f t="shared" si="3"/>
        <v>1132791.9731333335</v>
      </c>
      <c r="K54" s="219">
        <f t="shared" si="4"/>
        <v>4283761.4150570305</v>
      </c>
      <c r="L54" s="219">
        <f t="shared" si="5"/>
        <v>456376.8108020364</v>
      </c>
    </row>
    <row r="55" spans="1:12" ht="12">
      <c r="A55" s="216">
        <v>46</v>
      </c>
      <c r="B55" s="217"/>
      <c r="C55" s="217"/>
      <c r="D55" s="217"/>
      <c r="E55" s="217"/>
      <c r="F55" s="217">
        <f>'Capital Cost Estimate'!$AE$584/100</f>
        <v>30992.6848</v>
      </c>
      <c r="G55" s="217">
        <f>'Operating Cost Estimate'!$P$61/100</f>
        <v>1002540</v>
      </c>
      <c r="H55" s="217"/>
      <c r="I55" s="217">
        <f>'Operating Cost Estimate'!$P$67/120</f>
        <v>99259.28833333333</v>
      </c>
      <c r="J55" s="218">
        <f t="shared" si="3"/>
        <v>1132791.9731333335</v>
      </c>
      <c r="K55" s="219">
        <f t="shared" si="4"/>
        <v>4412274.257508742</v>
      </c>
      <c r="L55" s="219">
        <f t="shared" si="5"/>
        <v>447249.27458599565</v>
      </c>
    </row>
    <row r="56" spans="1:12" ht="12">
      <c r="A56" s="216">
        <v>47</v>
      </c>
      <c r="B56" s="217"/>
      <c r="C56" s="217"/>
      <c r="D56" s="217"/>
      <c r="E56" s="217"/>
      <c r="F56" s="217">
        <f>'Capital Cost Estimate'!$AE$584/100</f>
        <v>30992.6848</v>
      </c>
      <c r="G56" s="217">
        <f>'Operating Cost Estimate'!$P$61/100</f>
        <v>1002540</v>
      </c>
      <c r="H56" s="217"/>
      <c r="I56" s="217">
        <f>'Operating Cost Estimate'!$P$67/120</f>
        <v>99259.28833333333</v>
      </c>
      <c r="J56" s="218">
        <f t="shared" si="3"/>
        <v>1132791.9731333335</v>
      </c>
      <c r="K56" s="219">
        <f t="shared" si="4"/>
        <v>4544642.485234004</v>
      </c>
      <c r="L56" s="219">
        <f t="shared" si="5"/>
        <v>438304.2890942757</v>
      </c>
    </row>
    <row r="57" spans="1:12" ht="12">
      <c r="A57" s="216">
        <v>48</v>
      </c>
      <c r="B57" s="217"/>
      <c r="C57" s="217"/>
      <c r="D57" s="217"/>
      <c r="E57" s="217"/>
      <c r="F57" s="217">
        <f>'Capital Cost Estimate'!$AE$584/100</f>
        <v>30992.6848</v>
      </c>
      <c r="G57" s="217">
        <f>'Operating Cost Estimate'!$P$61/100</f>
        <v>1002540</v>
      </c>
      <c r="H57" s="217"/>
      <c r="I57" s="217">
        <f>'Operating Cost Estimate'!$P$67/120</f>
        <v>99259.28833333333</v>
      </c>
      <c r="J57" s="218">
        <f t="shared" si="3"/>
        <v>1132791.9731333335</v>
      </c>
      <c r="K57" s="219">
        <f t="shared" si="4"/>
        <v>4680981.759791024</v>
      </c>
      <c r="L57" s="219">
        <f t="shared" si="5"/>
        <v>429538.2033123902</v>
      </c>
    </row>
    <row r="58" spans="1:12" ht="12">
      <c r="A58" s="216">
        <v>49</v>
      </c>
      <c r="B58" s="217"/>
      <c r="C58" s="217"/>
      <c r="D58" s="217"/>
      <c r="E58" s="217"/>
      <c r="F58" s="217">
        <f>'Capital Cost Estimate'!$AE$584/100</f>
        <v>30992.6848</v>
      </c>
      <c r="G58" s="217">
        <f>'Operating Cost Estimate'!$P$61/100</f>
        <v>1002540</v>
      </c>
      <c r="H58" s="217"/>
      <c r="I58" s="217">
        <f>'Operating Cost Estimate'!$P$67/120</f>
        <v>99259.28833333333</v>
      </c>
      <c r="J58" s="218">
        <f t="shared" si="3"/>
        <v>1132791.9731333335</v>
      </c>
      <c r="K58" s="219">
        <f t="shared" si="4"/>
        <v>4821411.2125847535</v>
      </c>
      <c r="L58" s="219">
        <f t="shared" si="5"/>
        <v>420947.4392461424</v>
      </c>
    </row>
    <row r="59" spans="1:12" ht="12">
      <c r="A59" s="216">
        <v>50</v>
      </c>
      <c r="B59" s="217"/>
      <c r="C59" s="217"/>
      <c r="D59" s="217"/>
      <c r="E59" s="217"/>
      <c r="F59" s="217">
        <f>'Capital Cost Estimate'!$AE$584/100</f>
        <v>30992.6848</v>
      </c>
      <c r="G59" s="217">
        <f>'Operating Cost Estimate'!$P$61/100</f>
        <v>1002540</v>
      </c>
      <c r="H59" s="217"/>
      <c r="I59" s="217">
        <f>'Operating Cost Estimate'!$P$67/120</f>
        <v>99259.28833333333</v>
      </c>
      <c r="J59" s="218">
        <f t="shared" si="3"/>
        <v>1132791.9731333335</v>
      </c>
      <c r="K59" s="219">
        <f t="shared" si="4"/>
        <v>4966053.548962297</v>
      </c>
      <c r="L59" s="219">
        <f t="shared" si="5"/>
        <v>412528.4904612195</v>
      </c>
    </row>
    <row r="60" spans="1:12" ht="12">
      <c r="A60" s="216">
        <v>51</v>
      </c>
      <c r="B60" s="217"/>
      <c r="C60" s="217"/>
      <c r="D60" s="217"/>
      <c r="E60" s="217"/>
      <c r="F60" s="217">
        <f>'Capital Cost Estimate'!$AE$584/100</f>
        <v>30992.6848</v>
      </c>
      <c r="G60" s="217">
        <f>'Operating Cost Estimate'!$P$61/100</f>
        <v>1002540</v>
      </c>
      <c r="H60" s="217"/>
      <c r="I60" s="217">
        <f>'Operating Cost Estimate'!$P$67/120</f>
        <v>99259.28833333333</v>
      </c>
      <c r="J60" s="218">
        <f t="shared" si="3"/>
        <v>1132791.9731333335</v>
      </c>
      <c r="K60" s="219">
        <f t="shared" si="4"/>
        <v>5115035.155431165</v>
      </c>
      <c r="L60" s="219">
        <f t="shared" si="5"/>
        <v>404277.92065199517</v>
      </c>
    </row>
    <row r="61" spans="1:12" ht="12">
      <c r="A61" s="216">
        <v>52</v>
      </c>
      <c r="B61" s="217"/>
      <c r="C61" s="217"/>
      <c r="D61" s="217"/>
      <c r="E61" s="217"/>
      <c r="F61" s="217">
        <f>'Capital Cost Estimate'!$AE$584/100</f>
        <v>30992.6848</v>
      </c>
      <c r="G61" s="217">
        <f>'Operating Cost Estimate'!$P$61/100</f>
        <v>1002540</v>
      </c>
      <c r="H61" s="217"/>
      <c r="I61" s="217">
        <f>'Operating Cost Estimate'!$P$67/120</f>
        <v>99259.28833333333</v>
      </c>
      <c r="J61" s="218">
        <f t="shared" si="3"/>
        <v>1132791.9731333335</v>
      </c>
      <c r="K61" s="219">
        <f t="shared" si="4"/>
        <v>5268486.210094101</v>
      </c>
      <c r="L61" s="219">
        <f t="shared" si="5"/>
        <v>396192.3622389552</v>
      </c>
    </row>
    <row r="62" spans="1:12" ht="12">
      <c r="A62" s="216">
        <v>53</v>
      </c>
      <c r="B62" s="217"/>
      <c r="C62" s="217"/>
      <c r="D62" s="217"/>
      <c r="E62" s="217"/>
      <c r="F62" s="217">
        <f>'Capital Cost Estimate'!$AE$584/100</f>
        <v>30992.6848</v>
      </c>
      <c r="G62" s="217">
        <f>'Operating Cost Estimate'!$P$61/100</f>
        <v>1002540</v>
      </c>
      <c r="H62" s="217"/>
      <c r="I62" s="217">
        <f>'Operating Cost Estimate'!$P$67/120</f>
        <v>99259.28833333333</v>
      </c>
      <c r="J62" s="218">
        <f t="shared" si="3"/>
        <v>1132791.9731333335</v>
      </c>
      <c r="K62" s="219">
        <f t="shared" si="4"/>
        <v>5426540.796396922</v>
      </c>
      <c r="L62" s="219">
        <f t="shared" si="5"/>
        <v>388268.5149941761</v>
      </c>
    </row>
    <row r="63" spans="1:12" ht="12">
      <c r="A63" s="216">
        <v>54</v>
      </c>
      <c r="B63" s="217"/>
      <c r="C63" s="217"/>
      <c r="D63" s="217"/>
      <c r="E63" s="217"/>
      <c r="F63" s="217">
        <f>'Capital Cost Estimate'!$AE$584/100</f>
        <v>30992.6848</v>
      </c>
      <c r="G63" s="217">
        <f>'Operating Cost Estimate'!$P$61/100</f>
        <v>1002540</v>
      </c>
      <c r="H63" s="217"/>
      <c r="I63" s="217">
        <f>'Operating Cost Estimate'!$P$67/120</f>
        <v>99259.28833333333</v>
      </c>
      <c r="J63" s="218">
        <f t="shared" si="3"/>
        <v>1132791.9731333335</v>
      </c>
      <c r="K63" s="219">
        <f t="shared" si="4"/>
        <v>5589337.020288831</v>
      </c>
      <c r="L63" s="219">
        <f t="shared" si="5"/>
        <v>380503.14469429257</v>
      </c>
    </row>
    <row r="64" spans="1:12" ht="12">
      <c r="A64" s="216">
        <v>55</v>
      </c>
      <c r="B64" s="217"/>
      <c r="C64" s="217"/>
      <c r="D64" s="217"/>
      <c r="E64" s="217"/>
      <c r="F64" s="217">
        <f>'Capital Cost Estimate'!$AE$584/100</f>
        <v>30992.6848</v>
      </c>
      <c r="G64" s="217">
        <f>'Operating Cost Estimate'!$P$61/100</f>
        <v>1002540</v>
      </c>
      <c r="H64" s="217"/>
      <c r="I64" s="217">
        <f>'Operating Cost Estimate'!$P$67/120</f>
        <v>99259.28833333333</v>
      </c>
      <c r="J64" s="218">
        <f t="shared" si="3"/>
        <v>1132791.9731333335</v>
      </c>
      <c r="K64" s="219">
        <f t="shared" si="4"/>
        <v>5757017.130897496</v>
      </c>
      <c r="L64" s="219">
        <f t="shared" si="5"/>
        <v>372893.0818004067</v>
      </c>
    </row>
    <row r="65" spans="1:12" ht="12">
      <c r="A65" s="216">
        <v>56</v>
      </c>
      <c r="B65" s="217"/>
      <c r="C65" s="217"/>
      <c r="D65" s="217"/>
      <c r="E65" s="217"/>
      <c r="F65" s="217">
        <f>'Capital Cost Estimate'!$AE$584/100</f>
        <v>30992.6848</v>
      </c>
      <c r="G65" s="217">
        <f>'Operating Cost Estimate'!$P$61/100</f>
        <v>1002540</v>
      </c>
      <c r="H65" s="217"/>
      <c r="I65" s="217">
        <f>'Operating Cost Estimate'!$P$67/120</f>
        <v>99259.28833333333</v>
      </c>
      <c r="J65" s="218">
        <f t="shared" si="3"/>
        <v>1132791.9731333335</v>
      </c>
      <c r="K65" s="219">
        <f t="shared" si="4"/>
        <v>5929727.64482442</v>
      </c>
      <c r="L65" s="219">
        <f t="shared" si="5"/>
        <v>365435.22016439855</v>
      </c>
    </row>
    <row r="66" spans="1:12" ht="12">
      <c r="A66" s="216">
        <v>57</v>
      </c>
      <c r="B66" s="217"/>
      <c r="C66" s="217"/>
      <c r="D66" s="217"/>
      <c r="E66" s="217"/>
      <c r="F66" s="217">
        <f>'Capital Cost Estimate'!$AE$584/100</f>
        <v>30992.6848</v>
      </c>
      <c r="G66" s="217">
        <f>'Operating Cost Estimate'!$P$61/100</f>
        <v>1002540</v>
      </c>
      <c r="H66" s="217"/>
      <c r="I66" s="217">
        <f>'Operating Cost Estimate'!$P$67/120</f>
        <v>99259.28833333333</v>
      </c>
      <c r="J66" s="218">
        <f t="shared" si="3"/>
        <v>1132791.9731333335</v>
      </c>
      <c r="K66" s="219">
        <f t="shared" si="4"/>
        <v>6107619.474169153</v>
      </c>
      <c r="L66" s="219">
        <f t="shared" si="5"/>
        <v>358126.5157611106</v>
      </c>
    </row>
    <row r="67" spans="1:12" ht="12">
      <c r="A67" s="216">
        <v>58</v>
      </c>
      <c r="B67" s="217"/>
      <c r="C67" s="217"/>
      <c r="D67" s="217"/>
      <c r="E67" s="217"/>
      <c r="F67" s="217">
        <f>'Capital Cost Estimate'!$AE$584/100</f>
        <v>30992.6848</v>
      </c>
      <c r="G67" s="217">
        <f>'Operating Cost Estimate'!$P$61/100</f>
        <v>1002540</v>
      </c>
      <c r="H67" s="217"/>
      <c r="I67" s="217">
        <f>'Operating Cost Estimate'!$P$67/120</f>
        <v>99259.28833333333</v>
      </c>
      <c r="J67" s="218">
        <f t="shared" si="3"/>
        <v>1132791.9731333335</v>
      </c>
      <c r="K67" s="219">
        <f t="shared" si="4"/>
        <v>6290848.058394228</v>
      </c>
      <c r="L67" s="219">
        <f t="shared" si="5"/>
        <v>350963.98544588836</v>
      </c>
    </row>
    <row r="68" spans="1:12" ht="12">
      <c r="A68" s="216">
        <v>59</v>
      </c>
      <c r="B68" s="217"/>
      <c r="C68" s="217"/>
      <c r="D68" s="217"/>
      <c r="E68" s="217"/>
      <c r="F68" s="217">
        <f>'Capital Cost Estimate'!$AE$584/100</f>
        <v>30992.6848</v>
      </c>
      <c r="G68" s="217">
        <f>'Operating Cost Estimate'!$P$61/100</f>
        <v>1002540</v>
      </c>
      <c r="H68" s="217"/>
      <c r="I68" s="217">
        <f>'Operating Cost Estimate'!$P$67/120</f>
        <v>99259.28833333333</v>
      </c>
      <c r="J68" s="218">
        <f t="shared" si="3"/>
        <v>1132791.9731333335</v>
      </c>
      <c r="K68" s="219">
        <f t="shared" si="4"/>
        <v>6479573.500146055</v>
      </c>
      <c r="L68" s="219">
        <f t="shared" si="5"/>
        <v>343944.7057369705</v>
      </c>
    </row>
    <row r="69" spans="1:12" ht="12">
      <c r="A69" s="216">
        <v>60</v>
      </c>
      <c r="B69" s="217"/>
      <c r="C69" s="217"/>
      <c r="D69" s="217"/>
      <c r="E69" s="217"/>
      <c r="F69" s="217">
        <f>'Capital Cost Estimate'!$AE$584/100</f>
        <v>30992.6848</v>
      </c>
      <c r="G69" s="217">
        <f>'Operating Cost Estimate'!$P$61/100</f>
        <v>1002540</v>
      </c>
      <c r="H69" s="217"/>
      <c r="I69" s="217">
        <f>'Operating Cost Estimate'!$P$67/120</f>
        <v>99259.28833333333</v>
      </c>
      <c r="J69" s="218">
        <f t="shared" si="3"/>
        <v>1132791.9731333335</v>
      </c>
      <c r="K69" s="219">
        <f t="shared" si="4"/>
        <v>6673960.705150436</v>
      </c>
      <c r="L69" s="219">
        <f t="shared" si="5"/>
        <v>337065.8116222311</v>
      </c>
    </row>
    <row r="70" spans="1:12" ht="12">
      <c r="A70" s="216">
        <v>61</v>
      </c>
      <c r="B70" s="217"/>
      <c r="C70" s="217"/>
      <c r="D70" s="217"/>
      <c r="E70" s="217"/>
      <c r="F70" s="217">
        <f>'Capital Cost Estimate'!$AE$584/100</f>
        <v>30992.6848</v>
      </c>
      <c r="G70" s="217">
        <f>'Operating Cost Estimate'!$P$61/100</f>
        <v>1002540</v>
      </c>
      <c r="H70" s="217"/>
      <c r="I70" s="217">
        <f>'Operating Cost Estimate'!$P$67/120</f>
        <v>99259.28833333333</v>
      </c>
      <c r="J70" s="218">
        <f t="shared" si="3"/>
        <v>1132791.9731333335</v>
      </c>
      <c r="K70" s="219">
        <f t="shared" si="4"/>
        <v>6874179.526304948</v>
      </c>
      <c r="L70" s="219">
        <f t="shared" si="5"/>
        <v>330324.4953897865</v>
      </c>
    </row>
    <row r="71" spans="1:12" ht="12">
      <c r="A71" s="216">
        <v>62</v>
      </c>
      <c r="B71" s="217"/>
      <c r="C71" s="217"/>
      <c r="D71" s="217"/>
      <c r="E71" s="217"/>
      <c r="F71" s="217">
        <f>'Capital Cost Estimate'!$AE$584/100</f>
        <v>30992.6848</v>
      </c>
      <c r="G71" s="217">
        <f>'Operating Cost Estimate'!$P$61/100</f>
        <v>1002540</v>
      </c>
      <c r="H71" s="217"/>
      <c r="I71" s="217">
        <f>'Operating Cost Estimate'!$P$67/120</f>
        <v>99259.28833333333</v>
      </c>
      <c r="J71" s="218">
        <f t="shared" si="3"/>
        <v>1132791.9731333335</v>
      </c>
      <c r="K71" s="219">
        <f t="shared" si="4"/>
        <v>7080404.912094097</v>
      </c>
      <c r="L71" s="219">
        <f t="shared" si="5"/>
        <v>323718.00548199075</v>
      </c>
    </row>
    <row r="72" spans="1:12" ht="12">
      <c r="A72" s="216">
        <v>63</v>
      </c>
      <c r="B72" s="217"/>
      <c r="C72" s="217"/>
      <c r="D72" s="217"/>
      <c r="E72" s="217"/>
      <c r="F72" s="217">
        <f>'Capital Cost Estimate'!$AE$584/100</f>
        <v>30992.6848</v>
      </c>
      <c r="G72" s="217">
        <f>'Operating Cost Estimate'!$P$61/100</f>
        <v>1002540</v>
      </c>
      <c r="H72" s="217"/>
      <c r="I72" s="217">
        <f>'Operating Cost Estimate'!$P$67/120</f>
        <v>99259.28833333333</v>
      </c>
      <c r="J72" s="218">
        <f t="shared" si="3"/>
        <v>1132791.9731333335</v>
      </c>
      <c r="K72" s="219">
        <f t="shared" si="4"/>
        <v>7292817.05945692</v>
      </c>
      <c r="L72" s="219">
        <f t="shared" si="5"/>
        <v>317243.64537235093</v>
      </c>
    </row>
    <row r="73" spans="1:12" ht="12">
      <c r="A73" s="216">
        <v>64</v>
      </c>
      <c r="B73" s="217"/>
      <c r="C73" s="217"/>
      <c r="D73" s="217"/>
      <c r="E73" s="217"/>
      <c r="F73" s="217">
        <f>'Capital Cost Estimate'!$AE$584/100</f>
        <v>30992.6848</v>
      </c>
      <c r="G73" s="217">
        <f>'Operating Cost Estimate'!$P$61/100</f>
        <v>1002540</v>
      </c>
      <c r="H73" s="217"/>
      <c r="I73" s="217">
        <f>'Operating Cost Estimate'!$P$67/120</f>
        <v>99259.28833333333</v>
      </c>
      <c r="J73" s="218">
        <f t="shared" si="3"/>
        <v>1132791.9731333335</v>
      </c>
      <c r="K73" s="219">
        <f aca="true" t="shared" si="6" ref="K73:K78">($J73*((1+K$8)^A73))</f>
        <v>7511601.571240626</v>
      </c>
      <c r="L73" s="219">
        <f aca="true" t="shared" si="7" ref="L73:L78">J73*((1+K$8-L$8)^A73)</f>
        <v>310898.7724649039</v>
      </c>
    </row>
    <row r="74" spans="1:12" ht="12">
      <c r="A74" s="216">
        <v>65</v>
      </c>
      <c r="B74" s="217"/>
      <c r="C74" s="217"/>
      <c r="D74" s="217"/>
      <c r="E74" s="217"/>
      <c r="F74" s="217">
        <f>'Capital Cost Estimate'!$AE$584/100</f>
        <v>30992.6848</v>
      </c>
      <c r="G74" s="217">
        <f>'Operating Cost Estimate'!$P$61/100</f>
        <v>1002540</v>
      </c>
      <c r="H74" s="217"/>
      <c r="I74" s="217">
        <f>'Operating Cost Estimate'!$P$67/120</f>
        <v>99259.28833333333</v>
      </c>
      <c r="J74" s="218">
        <f t="shared" si="3"/>
        <v>1132791.9731333335</v>
      </c>
      <c r="K74" s="219">
        <f t="shared" si="6"/>
        <v>7736949.618377846</v>
      </c>
      <c r="L74" s="219">
        <f t="shared" si="7"/>
        <v>304680.7970156058</v>
      </c>
    </row>
    <row r="75" spans="1:12" ht="12">
      <c r="A75" s="216">
        <v>66</v>
      </c>
      <c r="B75" s="217"/>
      <c r="C75" s="217"/>
      <c r="D75" s="217"/>
      <c r="E75" s="217"/>
      <c r="F75" s="217">
        <f>'Capital Cost Estimate'!$AE$584/100</f>
        <v>30992.6848</v>
      </c>
      <c r="G75" s="217">
        <f>'Operating Cost Estimate'!$P$61/100</f>
        <v>1002540</v>
      </c>
      <c r="H75" s="217"/>
      <c r="I75" s="217">
        <f>'Operating Cost Estimate'!$P$67/120</f>
        <v>99259.28833333333</v>
      </c>
      <c r="J75" s="218">
        <f t="shared" si="3"/>
        <v>1132791.9731333335</v>
      </c>
      <c r="K75" s="219">
        <f t="shared" si="6"/>
        <v>7969058.10692918</v>
      </c>
      <c r="L75" s="219">
        <f t="shared" si="7"/>
        <v>298587.1810752937</v>
      </c>
    </row>
    <row r="76" spans="1:12" ht="12">
      <c r="A76" s="216">
        <v>67</v>
      </c>
      <c r="B76" s="217"/>
      <c r="C76" s="217"/>
      <c r="D76" s="217"/>
      <c r="E76" s="217"/>
      <c r="F76" s="217">
        <f>'Capital Cost Estimate'!$AE$584/100</f>
        <v>30992.6848</v>
      </c>
      <c r="G76" s="217">
        <f>'Operating Cost Estimate'!$P$61/100</f>
        <v>1002540</v>
      </c>
      <c r="H76" s="217"/>
      <c r="I76" s="217">
        <f>'Operating Cost Estimate'!$P$67/120</f>
        <v>99259.28833333333</v>
      </c>
      <c r="J76" s="218">
        <f t="shared" si="3"/>
        <v>1132791.9731333335</v>
      </c>
      <c r="K76" s="219">
        <f t="shared" si="6"/>
        <v>8208129.850137057</v>
      </c>
      <c r="L76" s="219">
        <f t="shared" si="7"/>
        <v>292615.43745378783</v>
      </c>
    </row>
    <row r="77" spans="1:12" ht="12">
      <c r="A77" s="216">
        <v>68</v>
      </c>
      <c r="B77" s="217"/>
      <c r="C77" s="217"/>
      <c r="D77" s="217"/>
      <c r="E77" s="217"/>
      <c r="F77" s="217">
        <f>'Capital Cost Estimate'!$AE$584/100</f>
        <v>30992.6848</v>
      </c>
      <c r="G77" s="217">
        <f>'Operating Cost Estimate'!$P$61/100</f>
        <v>1002540</v>
      </c>
      <c r="H77" s="217"/>
      <c r="I77" s="217">
        <f>'Operating Cost Estimate'!$P$67/120</f>
        <v>99259.28833333333</v>
      </c>
      <c r="J77" s="218">
        <f t="shared" si="3"/>
        <v>1132791.9731333335</v>
      </c>
      <c r="K77" s="219">
        <f t="shared" si="6"/>
        <v>8454373.745641166</v>
      </c>
      <c r="L77" s="219">
        <f t="shared" si="7"/>
        <v>286763.1287047121</v>
      </c>
    </row>
    <row r="78" spans="1:12" ht="12">
      <c r="A78" s="216">
        <v>69</v>
      </c>
      <c r="B78" s="217"/>
      <c r="C78" s="217"/>
      <c r="D78" s="217"/>
      <c r="E78" s="217"/>
      <c r="F78" s="217">
        <f>'Capital Cost Estimate'!$AE$584/100</f>
        <v>30992.6848</v>
      </c>
      <c r="G78" s="217">
        <f>'Operating Cost Estimate'!$P$61/100</f>
        <v>1002540</v>
      </c>
      <c r="H78" s="217"/>
      <c r="I78" s="217">
        <f>'Operating Cost Estimate'!$P$67/120</f>
        <v>99259.28833333333</v>
      </c>
      <c r="J78" s="218">
        <f t="shared" si="3"/>
        <v>1132791.9731333335</v>
      </c>
      <c r="K78" s="219">
        <f t="shared" si="6"/>
        <v>8708004.958010402</v>
      </c>
      <c r="L78" s="219">
        <f t="shared" si="7"/>
        <v>281027.86613061774</v>
      </c>
    </row>
    <row r="79" spans="1:12" ht="12">
      <c r="A79" s="216">
        <v>70</v>
      </c>
      <c r="B79" s="217"/>
      <c r="C79" s="217"/>
      <c r="D79" s="217"/>
      <c r="E79" s="217"/>
      <c r="F79" s="217">
        <f>'Capital Cost Estimate'!$AE$584/100</f>
        <v>30992.6848</v>
      </c>
      <c r="G79" s="217">
        <f>'Operating Cost Estimate'!$P$61/100</f>
        <v>1002540</v>
      </c>
      <c r="H79" s="217"/>
      <c r="I79" s="217">
        <f>'Operating Cost Estimate'!$P$67/120</f>
        <v>99259.28833333333</v>
      </c>
      <c r="J79" s="218">
        <f t="shared" si="3"/>
        <v>1132791.9731333335</v>
      </c>
      <c r="K79" s="219">
        <f aca="true" t="shared" si="8" ref="K79:K128">($J79*((1+K$8)^A79))</f>
        <v>8969245.106750714</v>
      </c>
      <c r="L79" s="219">
        <f aca="true" t="shared" si="9" ref="L79:L128">J79*((1+K$8-L$8)^A79)</f>
        <v>275407.3088080054</v>
      </c>
    </row>
    <row r="80" spans="1:12" ht="12">
      <c r="A80" s="216">
        <v>71</v>
      </c>
      <c r="B80" s="217"/>
      <c r="C80" s="217"/>
      <c r="D80" s="217"/>
      <c r="E80" s="217"/>
      <c r="F80" s="217">
        <f>'Capital Cost Estimate'!$AE$584/100</f>
        <v>30992.6848</v>
      </c>
      <c r="G80" s="217">
        <f>'Operating Cost Estimate'!$P$61/100</f>
        <v>1002540</v>
      </c>
      <c r="H80" s="217"/>
      <c r="I80" s="217">
        <f>'Operating Cost Estimate'!$P$67/120</f>
        <v>99259.28833333333</v>
      </c>
      <c r="J80" s="218">
        <f t="shared" si="3"/>
        <v>1132791.9731333335</v>
      </c>
      <c r="K80" s="219">
        <f t="shared" si="8"/>
        <v>9238322.459953235</v>
      </c>
      <c r="L80" s="219">
        <f t="shared" si="9"/>
        <v>269899.1626318453</v>
      </c>
    </row>
    <row r="81" spans="1:12" ht="12">
      <c r="A81" s="216">
        <v>72</v>
      </c>
      <c r="B81" s="217"/>
      <c r="C81" s="217"/>
      <c r="D81" s="217"/>
      <c r="E81" s="217"/>
      <c r="F81" s="217">
        <f>'Capital Cost Estimate'!$AE$584/100</f>
        <v>30992.6848</v>
      </c>
      <c r="G81" s="217">
        <f>'Operating Cost Estimate'!$P$61/100</f>
        <v>1002540</v>
      </c>
      <c r="H81" s="217"/>
      <c r="I81" s="217">
        <f>'Operating Cost Estimate'!$P$67/120</f>
        <v>99259.28833333333</v>
      </c>
      <c r="J81" s="218">
        <f t="shared" si="3"/>
        <v>1132791.9731333335</v>
      </c>
      <c r="K81" s="219">
        <f t="shared" si="8"/>
        <v>9515472.133751832</v>
      </c>
      <c r="L81" s="219">
        <f t="shared" si="9"/>
        <v>264501.17937920836</v>
      </c>
    </row>
    <row r="82" spans="1:12" ht="12">
      <c r="A82" s="216">
        <v>73</v>
      </c>
      <c r="B82" s="217"/>
      <c r="C82" s="217"/>
      <c r="D82" s="217"/>
      <c r="E82" s="217"/>
      <c r="F82" s="217">
        <f>'Capital Cost Estimate'!$AE$584/100</f>
        <v>30992.6848</v>
      </c>
      <c r="G82" s="217">
        <f>'Operating Cost Estimate'!$P$61/100</f>
        <v>1002540</v>
      </c>
      <c r="H82" s="217"/>
      <c r="I82" s="217">
        <f>'Operating Cost Estimate'!$P$67/120</f>
        <v>99259.28833333333</v>
      </c>
      <c r="J82" s="218">
        <f t="shared" si="3"/>
        <v>1132791.9731333335</v>
      </c>
      <c r="K82" s="219">
        <f t="shared" si="8"/>
        <v>9800936.297764387</v>
      </c>
      <c r="L82" s="219">
        <f t="shared" si="9"/>
        <v>259211.15579162422</v>
      </c>
    </row>
    <row r="83" spans="1:12" ht="12">
      <c r="A83" s="216">
        <v>74</v>
      </c>
      <c r="B83" s="217"/>
      <c r="C83" s="217"/>
      <c r="D83" s="217"/>
      <c r="E83" s="217"/>
      <c r="F83" s="217">
        <f>'Capital Cost Estimate'!$AE$584/100</f>
        <v>30992.6848</v>
      </c>
      <c r="G83" s="217">
        <f>'Operating Cost Estimate'!$P$61/100</f>
        <v>1002540</v>
      </c>
      <c r="H83" s="217"/>
      <c r="I83" s="217">
        <f>'Operating Cost Estimate'!$P$67/120</f>
        <v>99259.28833333333</v>
      </c>
      <c r="J83" s="218">
        <f t="shared" si="3"/>
        <v>1132791.9731333335</v>
      </c>
      <c r="K83" s="219">
        <f t="shared" si="8"/>
        <v>10094964.386697318</v>
      </c>
      <c r="L83" s="219">
        <f t="shared" si="9"/>
        <v>254026.9326757917</v>
      </c>
    </row>
    <row r="84" spans="1:12" ht="12">
      <c r="A84" s="216">
        <v>75</v>
      </c>
      <c r="B84" s="217"/>
      <c r="C84" s="217"/>
      <c r="D84" s="217"/>
      <c r="E84" s="217"/>
      <c r="F84" s="217">
        <f>'Capital Cost Estimate'!$AE$584/100</f>
        <v>30992.6848</v>
      </c>
      <c r="G84" s="217">
        <f>'Operating Cost Estimate'!$P$61/100</f>
        <v>1002540</v>
      </c>
      <c r="H84" s="217"/>
      <c r="I84" s="217">
        <f>'Operating Cost Estimate'!$P$67/120</f>
        <v>99259.28833333333</v>
      </c>
      <c r="J84" s="218">
        <f t="shared" si="3"/>
        <v>1132791.9731333335</v>
      </c>
      <c r="K84" s="219">
        <f t="shared" si="8"/>
        <v>10397813.31829824</v>
      </c>
      <c r="L84" s="219">
        <f t="shared" si="9"/>
        <v>248946.39402227587</v>
      </c>
    </row>
    <row r="85" spans="1:12" ht="12">
      <c r="A85" s="216">
        <v>76</v>
      </c>
      <c r="B85" s="217"/>
      <c r="C85" s="217"/>
      <c r="D85" s="217"/>
      <c r="E85" s="217"/>
      <c r="F85" s="217">
        <f>'Capital Cost Estimate'!$AE$584/100</f>
        <v>30992.6848</v>
      </c>
      <c r="G85" s="217">
        <f>'Operating Cost Estimate'!$P$61/100</f>
        <v>1002540</v>
      </c>
      <c r="H85" s="217"/>
      <c r="I85" s="217">
        <f>'Operating Cost Estimate'!$P$67/120</f>
        <v>99259.28833333333</v>
      </c>
      <c r="J85" s="218">
        <f t="shared" si="3"/>
        <v>1132791.9731333335</v>
      </c>
      <c r="K85" s="219">
        <f t="shared" si="8"/>
        <v>10709747.717847185</v>
      </c>
      <c r="L85" s="219">
        <f t="shared" si="9"/>
        <v>243967.46614183034</v>
      </c>
    </row>
    <row r="86" spans="1:12" ht="12">
      <c r="A86" s="216">
        <v>77</v>
      </c>
      <c r="B86" s="217"/>
      <c r="C86" s="217"/>
      <c r="D86" s="217"/>
      <c r="E86" s="217"/>
      <c r="F86" s="217">
        <f>'Capital Cost Estimate'!$AE$584/100</f>
        <v>30992.6848</v>
      </c>
      <c r="G86" s="217">
        <f>'Operating Cost Estimate'!$P$61/100</f>
        <v>1002540</v>
      </c>
      <c r="H86" s="217"/>
      <c r="I86" s="217">
        <f>'Operating Cost Estimate'!$P$67/120</f>
        <v>99259.28833333333</v>
      </c>
      <c r="J86" s="218">
        <f t="shared" si="3"/>
        <v>1132791.9731333335</v>
      </c>
      <c r="K86" s="219">
        <f t="shared" si="8"/>
        <v>11031040.149382599</v>
      </c>
      <c r="L86" s="219">
        <f t="shared" si="9"/>
        <v>239088.11681899373</v>
      </c>
    </row>
    <row r="87" spans="1:12" ht="12">
      <c r="A87" s="216">
        <v>78</v>
      </c>
      <c r="B87" s="217"/>
      <c r="C87" s="217"/>
      <c r="D87" s="217"/>
      <c r="E87" s="217"/>
      <c r="F87" s="217">
        <f>'Capital Cost Estimate'!$AE$584/100</f>
        <v>30992.6848</v>
      </c>
      <c r="G87" s="217">
        <f>'Operating Cost Estimate'!$P$61/100</f>
        <v>1002540</v>
      </c>
      <c r="H87" s="217"/>
      <c r="I87" s="217">
        <f>'Operating Cost Estimate'!$P$67/120</f>
        <v>99259.28833333333</v>
      </c>
      <c r="J87" s="218">
        <f t="shared" si="3"/>
        <v>1132791.9731333335</v>
      </c>
      <c r="K87" s="219">
        <f t="shared" si="8"/>
        <v>11361971.35386408</v>
      </c>
      <c r="L87" s="219">
        <f t="shared" si="9"/>
        <v>234306.35448261385</v>
      </c>
    </row>
    <row r="88" spans="1:12" ht="12">
      <c r="A88" s="216">
        <v>79</v>
      </c>
      <c r="B88" s="217"/>
      <c r="C88" s="217"/>
      <c r="D88" s="217"/>
      <c r="E88" s="217"/>
      <c r="F88" s="217">
        <f>'Capital Cost Estimate'!$AE$584/100</f>
        <v>30992.6848</v>
      </c>
      <c r="G88" s="217">
        <f>'Operating Cost Estimate'!$P$61/100</f>
        <v>1002540</v>
      </c>
      <c r="H88" s="217"/>
      <c r="I88" s="217">
        <f>'Operating Cost Estimate'!$P$67/120</f>
        <v>99259.28833333333</v>
      </c>
      <c r="J88" s="218">
        <f t="shared" si="3"/>
        <v>1132791.9731333335</v>
      </c>
      <c r="K88" s="219">
        <f t="shared" si="8"/>
        <v>11702830.494480003</v>
      </c>
      <c r="L88" s="219">
        <f t="shared" si="9"/>
        <v>229620.22739296156</v>
      </c>
    </row>
    <row r="89" spans="1:12" ht="12">
      <c r="A89" s="216">
        <v>80</v>
      </c>
      <c r="B89" s="217"/>
      <c r="C89" s="217"/>
      <c r="D89" s="217"/>
      <c r="E89" s="217"/>
      <c r="F89" s="217">
        <f>'Capital Cost Estimate'!$AE$584/100</f>
        <v>30992.6848</v>
      </c>
      <c r="G89" s="217">
        <f>'Operating Cost Estimate'!$P$61/100</f>
        <v>1002540</v>
      </c>
      <c r="H89" s="217"/>
      <c r="I89" s="217">
        <f>'Operating Cost Estimate'!$P$67/120</f>
        <v>99259.28833333333</v>
      </c>
      <c r="J89" s="218">
        <f t="shared" si="3"/>
        <v>1132791.9731333335</v>
      </c>
      <c r="K89" s="219">
        <f t="shared" si="8"/>
        <v>12053915.4093144</v>
      </c>
      <c r="L89" s="219">
        <f t="shared" si="9"/>
        <v>225027.82284510232</v>
      </c>
    </row>
    <row r="90" spans="1:12" ht="12">
      <c r="A90" s="216">
        <v>81</v>
      </c>
      <c r="B90" s="217"/>
      <c r="C90" s="217"/>
      <c r="D90" s="217"/>
      <c r="E90" s="217"/>
      <c r="F90" s="217">
        <f>'Capital Cost Estimate'!$AE$584/100</f>
        <v>30992.6848</v>
      </c>
      <c r="G90" s="217">
        <f>'Operating Cost Estimate'!$P$61/100</f>
        <v>1002540</v>
      </c>
      <c r="H90" s="217"/>
      <c r="I90" s="217">
        <f>'Operating Cost Estimate'!$P$67/120</f>
        <v>99259.28833333333</v>
      </c>
      <c r="J90" s="218">
        <f t="shared" si="3"/>
        <v>1132791.9731333335</v>
      </c>
      <c r="K90" s="219">
        <f t="shared" si="8"/>
        <v>12415532.871593833</v>
      </c>
      <c r="L90" s="219">
        <f t="shared" si="9"/>
        <v>220527.2663882003</v>
      </c>
    </row>
    <row r="91" spans="1:12" ht="12">
      <c r="A91" s="216">
        <v>82</v>
      </c>
      <c r="B91" s="217"/>
      <c r="C91" s="217"/>
      <c r="D91" s="217"/>
      <c r="E91" s="217"/>
      <c r="F91" s="217">
        <f>'Capital Cost Estimate'!$AE$584/100</f>
        <v>30992.6848</v>
      </c>
      <c r="G91" s="217">
        <f>'Operating Cost Estimate'!$P$61/100</f>
        <v>1002540</v>
      </c>
      <c r="H91" s="217"/>
      <c r="I91" s="217">
        <f>'Operating Cost Estimate'!$P$67/120</f>
        <v>99259.28833333333</v>
      </c>
      <c r="J91" s="218">
        <f t="shared" si="3"/>
        <v>1132791.9731333335</v>
      </c>
      <c r="K91" s="219">
        <f t="shared" si="8"/>
        <v>12787998.857741648</v>
      </c>
      <c r="L91" s="219">
        <f t="shared" si="9"/>
        <v>216116.72106043628</v>
      </c>
    </row>
    <row r="92" spans="1:12" ht="12">
      <c r="A92" s="216">
        <v>83</v>
      </c>
      <c r="B92" s="217"/>
      <c r="C92" s="217"/>
      <c r="D92" s="217"/>
      <c r="E92" s="217"/>
      <c r="F92" s="217">
        <f>'Capital Cost Estimate'!$AE$584/100</f>
        <v>30992.6848</v>
      </c>
      <c r="G92" s="217">
        <f>'Operating Cost Estimate'!$P$61/100</f>
        <v>1002540</v>
      </c>
      <c r="H92" s="217"/>
      <c r="I92" s="217">
        <f>'Operating Cost Estimate'!$P$67/120</f>
        <v>99259.28833333333</v>
      </c>
      <c r="J92" s="218">
        <f t="shared" si="3"/>
        <v>1132791.9731333335</v>
      </c>
      <c r="K92" s="219">
        <f t="shared" si="8"/>
        <v>13171638.823473895</v>
      </c>
      <c r="L92" s="219">
        <f t="shared" si="9"/>
        <v>211794.38663922754</v>
      </c>
    </row>
    <row r="93" spans="1:12" ht="12">
      <c r="A93" s="216">
        <v>84</v>
      </c>
      <c r="B93" s="217"/>
      <c r="C93" s="217"/>
      <c r="D93" s="217"/>
      <c r="E93" s="217"/>
      <c r="F93" s="217">
        <f>'Capital Cost Estimate'!$AE$584/100</f>
        <v>30992.6848</v>
      </c>
      <c r="G93" s="217">
        <f>'Operating Cost Estimate'!$P$61/100</f>
        <v>1002540</v>
      </c>
      <c r="H93" s="217"/>
      <c r="I93" s="217">
        <f>'Operating Cost Estimate'!$P$67/120</f>
        <v>99259.28833333333</v>
      </c>
      <c r="J93" s="218">
        <f t="shared" si="3"/>
        <v>1132791.9731333335</v>
      </c>
      <c r="K93" s="219">
        <f t="shared" si="8"/>
        <v>13566787.988178113</v>
      </c>
      <c r="L93" s="219">
        <f t="shared" si="9"/>
        <v>207558.49890644298</v>
      </c>
    </row>
    <row r="94" spans="1:12" ht="12">
      <c r="A94" s="216">
        <v>85</v>
      </c>
      <c r="B94" s="217"/>
      <c r="C94" s="217"/>
      <c r="D94" s="217"/>
      <c r="E94" s="217"/>
      <c r="F94" s="217">
        <f>'Capital Cost Estimate'!$AE$584/100</f>
        <v>30992.6848</v>
      </c>
      <c r="G94" s="217">
        <f>'Operating Cost Estimate'!$P$61/100</f>
        <v>1002540</v>
      </c>
      <c r="H94" s="217"/>
      <c r="I94" s="217">
        <f>'Operating Cost Estimate'!$P$67/120</f>
        <v>99259.28833333333</v>
      </c>
      <c r="J94" s="218">
        <f t="shared" si="3"/>
        <v>1132791.9731333335</v>
      </c>
      <c r="K94" s="219">
        <f t="shared" si="8"/>
        <v>13973791.627823455</v>
      </c>
      <c r="L94" s="219">
        <f t="shared" si="9"/>
        <v>203407.32892831412</v>
      </c>
    </row>
    <row r="95" spans="1:12" ht="12">
      <c r="A95" s="216">
        <v>86</v>
      </c>
      <c r="B95" s="217"/>
      <c r="C95" s="217"/>
      <c r="D95" s="217"/>
      <c r="E95" s="217"/>
      <c r="F95" s="217">
        <f>'Capital Cost Estimate'!$AE$584/100</f>
        <v>30992.6848</v>
      </c>
      <c r="G95" s="217">
        <f>'Operating Cost Estimate'!$P$61/100</f>
        <v>1002540</v>
      </c>
      <c r="H95" s="217"/>
      <c r="I95" s="217">
        <f>'Operating Cost Estimate'!$P$67/120</f>
        <v>99259.28833333333</v>
      </c>
      <c r="J95" s="218">
        <f t="shared" si="3"/>
        <v>1132791.9731333335</v>
      </c>
      <c r="K95" s="219">
        <f t="shared" si="8"/>
        <v>14393005.376658158</v>
      </c>
      <c r="L95" s="219">
        <f t="shared" si="9"/>
        <v>199339.18234974783</v>
      </c>
    </row>
    <row r="96" spans="1:12" ht="12">
      <c r="A96" s="216">
        <v>87</v>
      </c>
      <c r="B96" s="217"/>
      <c r="C96" s="217"/>
      <c r="D96" s="217"/>
      <c r="E96" s="217"/>
      <c r="F96" s="217">
        <f>'Capital Cost Estimate'!$AE$584/100</f>
        <v>30992.6848</v>
      </c>
      <c r="G96" s="217">
        <f>'Operating Cost Estimate'!$P$61/100</f>
        <v>1002540</v>
      </c>
      <c r="H96" s="217"/>
      <c r="I96" s="217">
        <f>'Operating Cost Estimate'!$P$67/120</f>
        <v>99259.28833333333</v>
      </c>
      <c r="J96" s="218">
        <f t="shared" si="3"/>
        <v>1132791.9731333335</v>
      </c>
      <c r="K96" s="219">
        <f t="shared" si="8"/>
        <v>14824795.537957905</v>
      </c>
      <c r="L96" s="219">
        <f t="shared" si="9"/>
        <v>195352.39870275286</v>
      </c>
    </row>
    <row r="97" spans="1:12" ht="12">
      <c r="A97" s="216">
        <v>88</v>
      </c>
      <c r="B97" s="217"/>
      <c r="C97" s="217"/>
      <c r="D97" s="217"/>
      <c r="E97" s="217"/>
      <c r="F97" s="217">
        <f>'Capital Cost Estimate'!$AE$584/100</f>
        <v>30992.6848</v>
      </c>
      <c r="G97" s="217">
        <f>'Operating Cost Estimate'!$P$61/100</f>
        <v>1002540</v>
      </c>
      <c r="H97" s="217"/>
      <c r="I97" s="217">
        <f>'Operating Cost Estimate'!$P$67/120</f>
        <v>99259.28833333333</v>
      </c>
      <c r="J97" s="218">
        <f t="shared" si="3"/>
        <v>1132791.9731333335</v>
      </c>
      <c r="K97" s="219">
        <f t="shared" si="8"/>
        <v>15269539.404096639</v>
      </c>
      <c r="L97" s="219">
        <f t="shared" si="9"/>
        <v>191445.3507286978</v>
      </c>
    </row>
    <row r="98" spans="1:12" ht="12">
      <c r="A98" s="216">
        <v>89</v>
      </c>
      <c r="B98" s="217"/>
      <c r="C98" s="217"/>
      <c r="D98" s="217"/>
      <c r="E98" s="217"/>
      <c r="F98" s="217">
        <f>'Capital Cost Estimate'!$AE$584/100</f>
        <v>30992.6848</v>
      </c>
      <c r="G98" s="217">
        <f>'Operating Cost Estimate'!$P$61/100</f>
        <v>1002540</v>
      </c>
      <c r="H98" s="217"/>
      <c r="I98" s="217">
        <f>'Operating Cost Estimate'!$P$67/120</f>
        <v>99259.28833333333</v>
      </c>
      <c r="J98" s="218">
        <f t="shared" si="3"/>
        <v>1132791.9731333335</v>
      </c>
      <c r="K98" s="219">
        <f t="shared" si="8"/>
        <v>15727625.586219538</v>
      </c>
      <c r="L98" s="219">
        <f t="shared" si="9"/>
        <v>187616.44371412383</v>
      </c>
    </row>
    <row r="99" spans="1:12" ht="12">
      <c r="A99" s="216">
        <v>90</v>
      </c>
      <c r="B99" s="217"/>
      <c r="C99" s="217"/>
      <c r="D99" s="217"/>
      <c r="E99" s="217"/>
      <c r="F99" s="217">
        <f>'Capital Cost Estimate'!$AE$584/100</f>
        <v>30992.6848</v>
      </c>
      <c r="G99" s="217">
        <f>'Operating Cost Estimate'!$P$61/100</f>
        <v>1002540</v>
      </c>
      <c r="H99" s="217"/>
      <c r="I99" s="217">
        <f>'Operating Cost Estimate'!$P$67/120</f>
        <v>99259.28833333333</v>
      </c>
      <c r="J99" s="218">
        <f t="shared" si="3"/>
        <v>1132791.9731333335</v>
      </c>
      <c r="K99" s="219">
        <f t="shared" si="8"/>
        <v>16199454.353806127</v>
      </c>
      <c r="L99" s="219">
        <f t="shared" si="9"/>
        <v>183864.11483984138</v>
      </c>
    </row>
    <row r="100" spans="1:12" ht="12">
      <c r="A100" s="216">
        <v>91</v>
      </c>
      <c r="B100" s="217"/>
      <c r="C100" s="217"/>
      <c r="D100" s="217"/>
      <c r="E100" s="217"/>
      <c r="F100" s="217">
        <f>'Capital Cost Estimate'!$AE$584/100</f>
        <v>30992.6848</v>
      </c>
      <c r="G100" s="217">
        <f>'Operating Cost Estimate'!$P$61/100</f>
        <v>1002540</v>
      </c>
      <c r="H100" s="217"/>
      <c r="I100" s="217">
        <f>'Operating Cost Estimate'!$P$67/120</f>
        <v>99259.28833333333</v>
      </c>
      <c r="J100" s="218">
        <f t="shared" si="3"/>
        <v>1132791.9731333335</v>
      </c>
      <c r="K100" s="219">
        <f t="shared" si="8"/>
        <v>16685437.984420309</v>
      </c>
      <c r="L100" s="219">
        <f t="shared" si="9"/>
        <v>180186.8325430445</v>
      </c>
    </row>
    <row r="101" spans="1:12" ht="12">
      <c r="A101" s="216">
        <v>92</v>
      </c>
      <c r="B101" s="217"/>
      <c r="C101" s="217"/>
      <c r="D101" s="217"/>
      <c r="E101" s="217"/>
      <c r="F101" s="217">
        <f>'Capital Cost Estimate'!$AE$584/100</f>
        <v>30992.6848</v>
      </c>
      <c r="G101" s="217">
        <f>'Operating Cost Estimate'!$P$61/100</f>
        <v>1002540</v>
      </c>
      <c r="H101" s="217"/>
      <c r="I101" s="217">
        <f>'Operating Cost Estimate'!$P$67/120</f>
        <v>99259.28833333333</v>
      </c>
      <c r="J101" s="218">
        <f t="shared" si="3"/>
        <v>1132791.9731333335</v>
      </c>
      <c r="K101" s="219">
        <f t="shared" si="8"/>
        <v>17186001.123952918</v>
      </c>
      <c r="L101" s="219">
        <f t="shared" si="9"/>
        <v>176583.09589218363</v>
      </c>
    </row>
    <row r="102" spans="1:12" ht="12">
      <c r="A102" s="216">
        <v>93</v>
      </c>
      <c r="B102" s="217"/>
      <c r="C102" s="217"/>
      <c r="D102" s="217"/>
      <c r="E102" s="217"/>
      <c r="F102" s="217">
        <f>'Capital Cost Estimate'!$AE$584/100</f>
        <v>30992.6848</v>
      </c>
      <c r="G102" s="217">
        <f>'Operating Cost Estimate'!$P$61/100</f>
        <v>1002540</v>
      </c>
      <c r="H102" s="217"/>
      <c r="I102" s="217">
        <f>'Operating Cost Estimate'!$P$67/120</f>
        <v>99259.28833333333</v>
      </c>
      <c r="J102" s="218">
        <f t="shared" si="3"/>
        <v>1132791.9731333335</v>
      </c>
      <c r="K102" s="219">
        <f t="shared" si="8"/>
        <v>17701581.157671504</v>
      </c>
      <c r="L102" s="219">
        <f t="shared" si="9"/>
        <v>173051.43397433995</v>
      </c>
    </row>
    <row r="103" spans="1:12" ht="12">
      <c r="A103" s="216">
        <v>94</v>
      </c>
      <c r="B103" s="217"/>
      <c r="C103" s="217"/>
      <c r="D103" s="217"/>
      <c r="E103" s="217"/>
      <c r="F103" s="217">
        <f>'Capital Cost Estimate'!$AE$584/100</f>
        <v>30992.6848</v>
      </c>
      <c r="G103" s="217">
        <f>'Operating Cost Estimate'!$P$61/100</f>
        <v>1002540</v>
      </c>
      <c r="H103" s="217"/>
      <c r="I103" s="217">
        <f>'Operating Cost Estimate'!$P$67/120</f>
        <v>99259.28833333333</v>
      </c>
      <c r="J103" s="218">
        <f t="shared" si="3"/>
        <v>1132791.9731333335</v>
      </c>
      <c r="K103" s="219">
        <f t="shared" si="8"/>
        <v>18232628.59240165</v>
      </c>
      <c r="L103" s="219">
        <f t="shared" si="9"/>
        <v>169590.40529485315</v>
      </c>
    </row>
    <row r="104" spans="1:12" ht="12">
      <c r="A104" s="216">
        <v>95</v>
      </c>
      <c r="B104" s="217"/>
      <c r="C104" s="217"/>
      <c r="D104" s="217"/>
      <c r="E104" s="217"/>
      <c r="F104" s="217">
        <f>'Capital Cost Estimate'!$AE$584/100</f>
        <v>30992.6848</v>
      </c>
      <c r="G104" s="217">
        <f>'Operating Cost Estimate'!$P$61/100</f>
        <v>1002540</v>
      </c>
      <c r="H104" s="217"/>
      <c r="I104" s="217">
        <f>'Operating Cost Estimate'!$P$67/120</f>
        <v>99259.28833333333</v>
      </c>
      <c r="J104" s="218">
        <f t="shared" si="3"/>
        <v>1132791.9731333335</v>
      </c>
      <c r="K104" s="219">
        <f t="shared" si="8"/>
        <v>18779607.450173702</v>
      </c>
      <c r="L104" s="219">
        <f t="shared" si="9"/>
        <v>166198.59718895608</v>
      </c>
    </row>
    <row r="105" spans="1:12" ht="12">
      <c r="A105" s="216">
        <v>96</v>
      </c>
      <c r="B105" s="217"/>
      <c r="C105" s="217"/>
      <c r="D105" s="217"/>
      <c r="E105" s="217"/>
      <c r="F105" s="217">
        <f>'Capital Cost Estimate'!$AE$584/100</f>
        <v>30992.6848</v>
      </c>
      <c r="G105" s="217">
        <f>'Operating Cost Estimate'!$P$61/100</f>
        <v>1002540</v>
      </c>
      <c r="H105" s="217"/>
      <c r="I105" s="217">
        <f>'Operating Cost Estimate'!$P$67/120</f>
        <v>99259.28833333333</v>
      </c>
      <c r="J105" s="218">
        <f aca="true" t="shared" si="10" ref="J105:J128">SUM(B105:I105)</f>
        <v>1132791.9731333335</v>
      </c>
      <c r="K105" s="219">
        <f t="shared" si="8"/>
        <v>19342995.67367891</v>
      </c>
      <c r="L105" s="219">
        <f t="shared" si="9"/>
        <v>162874.62524517693</v>
      </c>
    </row>
    <row r="106" spans="1:12" ht="12">
      <c r="A106" s="216">
        <v>97</v>
      </c>
      <c r="B106" s="217"/>
      <c r="C106" s="217"/>
      <c r="D106" s="217"/>
      <c r="E106" s="217"/>
      <c r="F106" s="217">
        <f>'Capital Cost Estimate'!$AE$584/100</f>
        <v>30992.6848</v>
      </c>
      <c r="G106" s="217">
        <f>'Operating Cost Estimate'!$P$61/100</f>
        <v>1002540</v>
      </c>
      <c r="H106" s="217"/>
      <c r="I106" s="217">
        <f>'Operating Cost Estimate'!$P$67/120</f>
        <v>99259.28833333333</v>
      </c>
      <c r="J106" s="218">
        <f t="shared" si="10"/>
        <v>1132791.9731333335</v>
      </c>
      <c r="K106" s="219">
        <f t="shared" si="8"/>
        <v>19923285.543889277</v>
      </c>
      <c r="L106" s="219">
        <f t="shared" si="9"/>
        <v>159617.1327402734</v>
      </c>
    </row>
    <row r="107" spans="1:12" ht="12">
      <c r="A107" s="216">
        <v>98</v>
      </c>
      <c r="B107" s="217"/>
      <c r="C107" s="217"/>
      <c r="D107" s="217"/>
      <c r="E107" s="217"/>
      <c r="F107" s="217">
        <f>'Capital Cost Estimate'!$AE$584/100</f>
        <v>30992.6848</v>
      </c>
      <c r="G107" s="217">
        <f>'Operating Cost Estimate'!$P$61/100</f>
        <v>1002540</v>
      </c>
      <c r="H107" s="217"/>
      <c r="I107" s="217">
        <f>'Operating Cost Estimate'!$P$67/120</f>
        <v>99259.28833333333</v>
      </c>
      <c r="J107" s="218">
        <f t="shared" si="10"/>
        <v>1132791.9731333335</v>
      </c>
      <c r="K107" s="219">
        <f t="shared" si="8"/>
        <v>20520984.110205952</v>
      </c>
      <c r="L107" s="219">
        <f t="shared" si="9"/>
        <v>156424.79008546795</v>
      </c>
    </row>
    <row r="108" spans="1:12" ht="12">
      <c r="A108" s="216">
        <v>99</v>
      </c>
      <c r="B108" s="217"/>
      <c r="C108" s="217"/>
      <c r="D108" s="217"/>
      <c r="E108" s="217"/>
      <c r="F108" s="217">
        <f>'Capital Cost Estimate'!$AE$584/100</f>
        <v>30992.6848</v>
      </c>
      <c r="G108" s="217">
        <f>'Operating Cost Estimate'!$P$61/100</f>
        <v>1002540</v>
      </c>
      <c r="H108" s="217"/>
      <c r="I108" s="217">
        <f>'Operating Cost Estimate'!$P$67/120</f>
        <v>99259.28833333333</v>
      </c>
      <c r="J108" s="218">
        <f t="shared" si="10"/>
        <v>1132791.9731333335</v>
      </c>
      <c r="K108" s="219">
        <f t="shared" si="8"/>
        <v>21136613.633512136</v>
      </c>
      <c r="L108" s="219">
        <f t="shared" si="9"/>
        <v>153296.29428375856</v>
      </c>
    </row>
    <row r="109" spans="1:12" ht="12">
      <c r="A109" s="216">
        <v>100</v>
      </c>
      <c r="B109" s="217"/>
      <c r="C109" s="217"/>
      <c r="D109" s="217"/>
      <c r="E109" s="217"/>
      <c r="F109" s="217">
        <f>'Capital Cost Estimate'!$AE$584/100</f>
        <v>30992.6848</v>
      </c>
      <c r="G109" s="217"/>
      <c r="H109" s="217"/>
      <c r="I109" s="217">
        <f>'Operating Cost Estimate'!$P$67/120</f>
        <v>99259.28833333333</v>
      </c>
      <c r="J109" s="218">
        <f t="shared" si="10"/>
        <v>130251.97313333333</v>
      </c>
      <c r="K109" s="219">
        <f t="shared" si="8"/>
        <v>2503264.7364299046</v>
      </c>
      <c r="L109" s="219">
        <f t="shared" si="9"/>
        <v>17273.958831357933</v>
      </c>
    </row>
    <row r="110" spans="1:12" ht="12">
      <c r="A110" s="216">
        <v>101</v>
      </c>
      <c r="B110" s="217"/>
      <c r="C110" s="217"/>
      <c r="D110" s="217"/>
      <c r="E110" s="217"/>
      <c r="F110" s="217"/>
      <c r="G110" s="217"/>
      <c r="H110" s="217"/>
      <c r="I110" s="217">
        <f>'Operating Cost Estimate'!$P$67/120</f>
        <v>99259.28833333333</v>
      </c>
      <c r="J110" s="218">
        <f t="shared" si="10"/>
        <v>99259.28833333333</v>
      </c>
      <c r="K110" s="219">
        <f t="shared" si="8"/>
        <v>1964856.5651548286</v>
      </c>
      <c r="L110" s="219">
        <f t="shared" si="9"/>
        <v>12900.44828245196</v>
      </c>
    </row>
    <row r="111" spans="1:12" ht="12">
      <c r="A111" s="216">
        <v>102</v>
      </c>
      <c r="B111" s="217"/>
      <c r="C111" s="217"/>
      <c r="D111" s="217"/>
      <c r="E111" s="217"/>
      <c r="F111" s="217"/>
      <c r="G111" s="217"/>
      <c r="H111" s="217"/>
      <c r="I111" s="217">
        <f>'Operating Cost Estimate'!$P$67/120</f>
        <v>99259.28833333333</v>
      </c>
      <c r="J111" s="218">
        <f t="shared" si="10"/>
        <v>99259.28833333333</v>
      </c>
      <c r="K111" s="219">
        <f t="shared" si="8"/>
        <v>2023802.2621094736</v>
      </c>
      <c r="L111" s="219">
        <f t="shared" si="9"/>
        <v>12642.439316802922</v>
      </c>
    </row>
    <row r="112" spans="1:12" ht="12">
      <c r="A112" s="216">
        <v>103</v>
      </c>
      <c r="B112" s="217"/>
      <c r="C112" s="217"/>
      <c r="D112" s="217"/>
      <c r="E112" s="217"/>
      <c r="F112" s="217"/>
      <c r="G112" s="217"/>
      <c r="H112" s="217"/>
      <c r="I112" s="217">
        <f>'Operating Cost Estimate'!$P$67/120</f>
        <v>99259.28833333333</v>
      </c>
      <c r="J112" s="218">
        <f t="shared" si="10"/>
        <v>99259.28833333333</v>
      </c>
      <c r="K112" s="219">
        <f t="shared" si="8"/>
        <v>2084516.329972758</v>
      </c>
      <c r="L112" s="219">
        <f t="shared" si="9"/>
        <v>12389.590530466863</v>
      </c>
    </row>
    <row r="113" spans="1:12" ht="12">
      <c r="A113" s="216">
        <v>104</v>
      </c>
      <c r="B113" s="217"/>
      <c r="C113" s="217"/>
      <c r="D113" s="217"/>
      <c r="E113" s="217"/>
      <c r="F113" s="217"/>
      <c r="G113" s="217"/>
      <c r="H113" s="217"/>
      <c r="I113" s="217">
        <f>'Operating Cost Estimate'!$P$67/120</f>
        <v>99259.28833333333</v>
      </c>
      <c r="J113" s="218">
        <f t="shared" si="10"/>
        <v>99259.28833333333</v>
      </c>
      <c r="K113" s="219">
        <f t="shared" si="8"/>
        <v>2147051.81987194</v>
      </c>
      <c r="L113" s="219">
        <f t="shared" si="9"/>
        <v>12141.798719857525</v>
      </c>
    </row>
    <row r="114" spans="1:12" ht="12">
      <c r="A114" s="216">
        <v>105</v>
      </c>
      <c r="B114" s="217"/>
      <c r="C114" s="217"/>
      <c r="D114" s="217"/>
      <c r="E114" s="217"/>
      <c r="F114" s="217"/>
      <c r="G114" s="217"/>
      <c r="H114" s="217"/>
      <c r="I114" s="217">
        <f>'Operating Cost Estimate'!$P$67/120</f>
        <v>99259.28833333333</v>
      </c>
      <c r="J114" s="218">
        <f t="shared" si="10"/>
        <v>99259.28833333333</v>
      </c>
      <c r="K114" s="219">
        <f t="shared" si="8"/>
        <v>2211463.374468099</v>
      </c>
      <c r="L114" s="219">
        <f t="shared" si="9"/>
        <v>11898.962745460376</v>
      </c>
    </row>
    <row r="115" spans="1:12" ht="12">
      <c r="A115" s="216">
        <v>106</v>
      </c>
      <c r="B115" s="217"/>
      <c r="C115" s="217"/>
      <c r="D115" s="217"/>
      <c r="E115" s="217"/>
      <c r="F115" s="217"/>
      <c r="G115" s="217"/>
      <c r="H115" s="217"/>
      <c r="I115" s="217">
        <f>'Operating Cost Estimate'!$P$67/120</f>
        <v>99259.28833333333</v>
      </c>
      <c r="J115" s="218">
        <f t="shared" si="10"/>
        <v>99259.28833333333</v>
      </c>
      <c r="K115" s="219">
        <f t="shared" si="8"/>
        <v>2277807.275702142</v>
      </c>
      <c r="L115" s="219">
        <f t="shared" si="9"/>
        <v>11660.983490551167</v>
      </c>
    </row>
    <row r="116" spans="1:12" ht="12">
      <c r="A116" s="216">
        <v>107</v>
      </c>
      <c r="B116" s="217"/>
      <c r="C116" s="217"/>
      <c r="D116" s="217"/>
      <c r="E116" s="217"/>
      <c r="F116" s="217"/>
      <c r="G116" s="217"/>
      <c r="H116" s="217"/>
      <c r="I116" s="217">
        <f>'Operating Cost Estimate'!$P$67/120</f>
        <v>99259.28833333333</v>
      </c>
      <c r="J116" s="218">
        <f t="shared" si="10"/>
        <v>99259.28833333333</v>
      </c>
      <c r="K116" s="219">
        <f t="shared" si="8"/>
        <v>2346141.4939732063</v>
      </c>
      <c r="L116" s="219">
        <f t="shared" si="9"/>
        <v>11427.763820740143</v>
      </c>
    </row>
    <row r="117" spans="1:12" ht="12">
      <c r="A117" s="216">
        <v>108</v>
      </c>
      <c r="B117" s="217"/>
      <c r="C117" s="217"/>
      <c r="D117" s="217"/>
      <c r="E117" s="217"/>
      <c r="F117" s="217"/>
      <c r="G117" s="217"/>
      <c r="H117" s="217"/>
      <c r="I117" s="217">
        <f>'Operating Cost Estimate'!$P$67/120</f>
        <v>99259.28833333333</v>
      </c>
      <c r="J117" s="218">
        <f t="shared" si="10"/>
        <v>99259.28833333333</v>
      </c>
      <c r="K117" s="219">
        <f t="shared" si="8"/>
        <v>2416525.7387924017</v>
      </c>
      <c r="L117" s="219">
        <f t="shared" si="9"/>
        <v>11199.20854432534</v>
      </c>
    </row>
    <row r="118" spans="1:12" ht="12">
      <c r="A118" s="216">
        <v>109</v>
      </c>
      <c r="B118" s="217"/>
      <c r="C118" s="217"/>
      <c r="D118" s="217"/>
      <c r="E118" s="217"/>
      <c r="F118" s="217"/>
      <c r="G118" s="217"/>
      <c r="H118" s="217"/>
      <c r="I118" s="217">
        <f>'Operating Cost Estimate'!$P$67/120</f>
        <v>99259.28833333333</v>
      </c>
      <c r="J118" s="218">
        <f t="shared" si="10"/>
        <v>99259.28833333333</v>
      </c>
      <c r="K118" s="219">
        <f t="shared" si="8"/>
        <v>2489021.510956174</v>
      </c>
      <c r="L118" s="219">
        <f t="shared" si="9"/>
        <v>10975.224373438832</v>
      </c>
    </row>
    <row r="119" spans="1:12" ht="12">
      <c r="A119" s="216">
        <v>110</v>
      </c>
      <c r="B119" s="217"/>
      <c r="C119" s="217"/>
      <c r="D119" s="217"/>
      <c r="E119" s="217"/>
      <c r="F119" s="217"/>
      <c r="G119" s="217"/>
      <c r="H119" s="217"/>
      <c r="I119" s="217">
        <f>'Operating Cost Estimate'!$P$67/120</f>
        <v>99259.28833333333</v>
      </c>
      <c r="J119" s="218">
        <f t="shared" si="10"/>
        <v>99259.28833333333</v>
      </c>
      <c r="K119" s="219">
        <f t="shared" si="8"/>
        <v>2563692.1562848594</v>
      </c>
      <c r="L119" s="219">
        <f t="shared" si="9"/>
        <v>10755.719885970057</v>
      </c>
    </row>
    <row r="120" spans="1:12" ht="12">
      <c r="A120" s="216">
        <v>111</v>
      </c>
      <c r="B120" s="217"/>
      <c r="C120" s="217"/>
      <c r="D120" s="217"/>
      <c r="E120" s="217"/>
      <c r="F120" s="217"/>
      <c r="G120" s="217"/>
      <c r="H120" s="217"/>
      <c r="I120" s="217">
        <f>'Operating Cost Estimate'!$P$67/120</f>
        <v>99259.28833333333</v>
      </c>
      <c r="J120" s="218">
        <f t="shared" si="10"/>
        <v>99259.28833333333</v>
      </c>
      <c r="K120" s="219">
        <f t="shared" si="8"/>
        <v>2640602.9209734052</v>
      </c>
      <c r="L120" s="219">
        <f t="shared" si="9"/>
        <v>10540.605488250654</v>
      </c>
    </row>
    <row r="121" spans="1:12" ht="12">
      <c r="A121" s="216">
        <v>112</v>
      </c>
      <c r="B121" s="217"/>
      <c r="C121" s="217"/>
      <c r="D121" s="217"/>
      <c r="E121" s="217"/>
      <c r="F121" s="217"/>
      <c r="G121" s="217"/>
      <c r="H121" s="217"/>
      <c r="I121" s="217">
        <f>'Operating Cost Estimate'!$P$67/120</f>
        <v>99259.28833333333</v>
      </c>
      <c r="J121" s="218">
        <f t="shared" si="10"/>
        <v>99259.28833333333</v>
      </c>
      <c r="K121" s="219">
        <f t="shared" si="8"/>
        <v>2719821.0086026075</v>
      </c>
      <c r="L121" s="219">
        <f t="shared" si="9"/>
        <v>10329.793378485641</v>
      </c>
    </row>
    <row r="122" spans="1:12" ht="12">
      <c r="A122" s="216">
        <v>113</v>
      </c>
      <c r="B122" s="217"/>
      <c r="C122" s="217"/>
      <c r="D122" s="217"/>
      <c r="E122" s="217"/>
      <c r="F122" s="217"/>
      <c r="G122" s="217"/>
      <c r="H122" s="217"/>
      <c r="I122" s="217">
        <f>'Operating Cost Estimate'!$P$67/120</f>
        <v>99259.28833333333</v>
      </c>
      <c r="J122" s="218">
        <f t="shared" si="10"/>
        <v>99259.28833333333</v>
      </c>
      <c r="K122" s="219">
        <f t="shared" si="8"/>
        <v>2801415.638860685</v>
      </c>
      <c r="L122" s="219">
        <f t="shared" si="9"/>
        <v>10123.19751091593</v>
      </c>
    </row>
    <row r="123" spans="1:12" ht="12">
      <c r="A123" s="216">
        <v>114</v>
      </c>
      <c r="B123" s="217"/>
      <c r="C123" s="217"/>
      <c r="D123" s="217"/>
      <c r="E123" s="217"/>
      <c r="F123" s="217"/>
      <c r="G123" s="217"/>
      <c r="H123" s="217"/>
      <c r="I123" s="217">
        <f>'Operating Cost Estimate'!$P$67/120</f>
        <v>99259.28833333333</v>
      </c>
      <c r="J123" s="218">
        <f t="shared" si="10"/>
        <v>99259.28833333333</v>
      </c>
      <c r="K123" s="219">
        <f t="shared" si="8"/>
        <v>2885458.1080265054</v>
      </c>
      <c r="L123" s="219">
        <f t="shared" si="9"/>
        <v>9920.733560697608</v>
      </c>
    </row>
    <row r="124" spans="1:12" ht="12">
      <c r="A124" s="216">
        <v>115</v>
      </c>
      <c r="B124" s="217"/>
      <c r="C124" s="217"/>
      <c r="D124" s="217"/>
      <c r="E124" s="217"/>
      <c r="F124" s="217"/>
      <c r="G124" s="217"/>
      <c r="H124" s="217"/>
      <c r="I124" s="217">
        <f>'Operating Cost Estimate'!$P$67/120</f>
        <v>99259.28833333333</v>
      </c>
      <c r="J124" s="218">
        <f t="shared" si="10"/>
        <v>99259.28833333333</v>
      </c>
      <c r="K124" s="219">
        <f t="shared" si="8"/>
        <v>2972021.851267301</v>
      </c>
      <c r="L124" s="219">
        <f t="shared" si="9"/>
        <v>9722.318889483658</v>
      </c>
    </row>
    <row r="125" spans="1:12" ht="12">
      <c r="A125" s="216">
        <v>116</v>
      </c>
      <c r="B125" s="217"/>
      <c r="C125" s="217"/>
      <c r="D125" s="217"/>
      <c r="E125" s="217"/>
      <c r="F125" s="217"/>
      <c r="G125" s="217"/>
      <c r="H125" s="217"/>
      <c r="I125" s="217">
        <f>'Operating Cost Estimate'!$P$67/120</f>
        <v>99259.28833333333</v>
      </c>
      <c r="J125" s="218">
        <f t="shared" si="10"/>
        <v>99259.28833333333</v>
      </c>
      <c r="K125" s="219">
        <f t="shared" si="8"/>
        <v>3061182.5068053203</v>
      </c>
      <c r="L125" s="219">
        <f t="shared" si="9"/>
        <v>9527.872511693984</v>
      </c>
    </row>
    <row r="126" spans="1:12" ht="12">
      <c r="A126" s="216">
        <v>117</v>
      </c>
      <c r="B126" s="217"/>
      <c r="C126" s="217"/>
      <c r="D126" s="217"/>
      <c r="E126" s="217"/>
      <c r="F126" s="217"/>
      <c r="G126" s="217"/>
      <c r="H126" s="217"/>
      <c r="I126" s="217">
        <f>'Operating Cost Estimate'!$P$67/120</f>
        <v>99259.28833333333</v>
      </c>
      <c r="J126" s="218">
        <f t="shared" si="10"/>
        <v>99259.28833333333</v>
      </c>
      <c r="K126" s="219">
        <f t="shared" si="8"/>
        <v>3153017.982009479</v>
      </c>
      <c r="L126" s="219">
        <f t="shared" si="9"/>
        <v>9337.315061460104</v>
      </c>
    </row>
    <row r="127" spans="1:12" ht="12">
      <c r="A127" s="216">
        <v>118</v>
      </c>
      <c r="B127" s="217"/>
      <c r="C127" s="217"/>
      <c r="D127" s="217"/>
      <c r="E127" s="217"/>
      <c r="F127" s="217"/>
      <c r="G127" s="217"/>
      <c r="H127" s="217"/>
      <c r="I127" s="217">
        <f>'Operating Cost Estimate'!$P$67/120</f>
        <v>99259.28833333333</v>
      </c>
      <c r="J127" s="218">
        <f t="shared" si="10"/>
        <v>99259.28833333333</v>
      </c>
      <c r="K127" s="219">
        <f t="shared" si="8"/>
        <v>3247608.521469764</v>
      </c>
      <c r="L127" s="219">
        <f t="shared" si="9"/>
        <v>9150.568760230903</v>
      </c>
    </row>
    <row r="128" spans="1:12" ht="12">
      <c r="A128" s="216">
        <v>119</v>
      </c>
      <c r="B128" s="217"/>
      <c r="C128" s="217"/>
      <c r="D128" s="217"/>
      <c r="E128" s="217"/>
      <c r="F128" s="217"/>
      <c r="G128" s="217"/>
      <c r="H128" s="217">
        <f>'Operating Cost Estimate'!$P$62</f>
        <v>770000</v>
      </c>
      <c r="I128" s="217">
        <f>'Operating Cost Estimate'!$P$67/120</f>
        <v>99259.28833333333</v>
      </c>
      <c r="J128" s="218">
        <f t="shared" si="10"/>
        <v>869259.2883333333</v>
      </c>
      <c r="K128" s="219">
        <f t="shared" si="8"/>
        <v>29294027.160039093</v>
      </c>
      <c r="L128" s="219">
        <f t="shared" si="9"/>
        <v>78533.02881256411</v>
      </c>
    </row>
    <row r="129" spans="1:12" ht="12">
      <c r="A129" s="214" t="s">
        <v>99</v>
      </c>
      <c r="B129" s="217">
        <f>SUM(B9:B128)</f>
        <v>3599371.16</v>
      </c>
      <c r="C129" s="217">
        <f aca="true" t="shared" si="11" ref="C129:L129">SUM(C9:C128)</f>
        <v>2978497.83</v>
      </c>
      <c r="D129" s="217">
        <f t="shared" si="11"/>
        <v>12490731.792000003</v>
      </c>
      <c r="E129" s="217">
        <f t="shared" si="11"/>
        <v>1118.04</v>
      </c>
      <c r="F129" s="217">
        <f t="shared" si="11"/>
        <v>3099268.4799999963</v>
      </c>
      <c r="G129" s="217">
        <f t="shared" si="11"/>
        <v>100254000</v>
      </c>
      <c r="H129" s="217">
        <f>SUM(H9:H128)</f>
        <v>770000</v>
      </c>
      <c r="I129" s="217">
        <f t="shared" si="11"/>
        <v>16525114.600000048</v>
      </c>
      <c r="J129" s="217">
        <f t="shared" si="11"/>
        <v>139718101.90200025</v>
      </c>
      <c r="K129" s="217">
        <f t="shared" si="11"/>
        <v>795292628.6841958</v>
      </c>
      <c r="L129" s="217">
        <f t="shared" si="11"/>
        <v>70657267.231671</v>
      </c>
    </row>
    <row r="130" ht="12">
      <c r="I130" s="203"/>
    </row>
    <row r="131" spans="2:12" ht="12">
      <c r="B131" s="203"/>
      <c r="C131" s="203"/>
      <c r="D131" s="203"/>
      <c r="E131" s="205"/>
      <c r="F131" s="203"/>
      <c r="G131" s="203"/>
      <c r="H131" s="203"/>
      <c r="I131" s="203"/>
      <c r="J131" s="203"/>
      <c r="L131" s="204"/>
    </row>
    <row r="132" spans="1:10" ht="12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</row>
    <row r="133" spans="1:10" ht="12">
      <c r="A133" s="203"/>
      <c r="B133" s="203"/>
      <c r="C133" s="203"/>
      <c r="D133" s="203"/>
      <c r="E133" s="203"/>
      <c r="F133" s="203"/>
      <c r="G133" s="203"/>
      <c r="H133" s="203"/>
      <c r="I133" s="203"/>
      <c r="J133" s="205"/>
    </row>
    <row r="134" spans="1:10" ht="12">
      <c r="A134" s="220"/>
      <c r="B134" s="203"/>
      <c r="C134" s="203"/>
      <c r="D134" s="203"/>
      <c r="E134" s="203"/>
      <c r="F134" s="203"/>
      <c r="G134" s="203"/>
      <c r="H134" s="203"/>
      <c r="I134" s="203"/>
      <c r="J134" s="203"/>
    </row>
    <row r="135" spans="1:10" ht="12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</row>
    <row r="136" spans="1:10" ht="12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</row>
    <row r="137" spans="1:10" ht="12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</row>
    <row r="138" spans="1:10" ht="12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</row>
    <row r="139" spans="1:10" ht="12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</row>
    <row r="140" spans="1:10" ht="12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</row>
    <row r="141" spans="1:10" ht="12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</row>
    <row r="142" spans="1:10" ht="12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</row>
    <row r="143" spans="1:10" ht="12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</row>
    <row r="144" spans="1:10" ht="12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</row>
    <row r="145" spans="1:10" ht="12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</row>
    <row r="146" spans="1:10" ht="12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</row>
    <row r="147" spans="1:10" ht="12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</row>
    <row r="148" spans="1:10" ht="12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2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</row>
    <row r="150" spans="1:10" ht="12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</row>
    <row r="151" spans="1:10" ht="12">
      <c r="A151" s="203"/>
      <c r="B151" s="203"/>
      <c r="C151" s="203"/>
      <c r="D151" s="203"/>
      <c r="E151" s="203"/>
      <c r="F151" s="203"/>
      <c r="G151" s="203"/>
      <c r="H151" s="203"/>
      <c r="I151" s="203"/>
      <c r="J151" s="205"/>
    </row>
    <row r="152" spans="1:10" ht="12">
      <c r="A152" s="203"/>
      <c r="B152" s="203"/>
      <c r="C152" s="203"/>
      <c r="D152" s="203"/>
      <c r="E152" s="203"/>
      <c r="F152" s="203"/>
      <c r="G152" s="203"/>
      <c r="H152" s="203"/>
      <c r="I152" s="203"/>
      <c r="J152" s="205"/>
    </row>
    <row r="153" spans="1:10" ht="12">
      <c r="A153" s="203"/>
      <c r="B153" s="203"/>
      <c r="C153" s="203"/>
      <c r="D153" s="203"/>
      <c r="E153" s="203"/>
      <c r="F153" s="203"/>
      <c r="G153" s="203"/>
      <c r="H153" s="203"/>
      <c r="I153" s="203"/>
      <c r="J153" s="205"/>
    </row>
    <row r="154" spans="1:10" ht="12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</row>
    <row r="155" spans="1:10" ht="12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</row>
    <row r="156" spans="1:10" ht="12">
      <c r="A156" s="203"/>
      <c r="B156" s="203"/>
      <c r="C156" s="203"/>
      <c r="D156" s="203"/>
      <c r="E156" s="203"/>
      <c r="F156" s="203"/>
      <c r="G156" s="203"/>
      <c r="H156" s="203"/>
      <c r="I156" s="203"/>
      <c r="J156" s="205"/>
    </row>
    <row r="157" spans="1:10" ht="12">
      <c r="A157" s="203"/>
      <c r="B157" s="203"/>
      <c r="C157" s="203"/>
      <c r="D157" s="203"/>
      <c r="E157" s="203"/>
      <c r="F157" s="203"/>
      <c r="G157" s="203"/>
      <c r="H157" s="203"/>
      <c r="I157" s="203"/>
      <c r="J157" s="205"/>
    </row>
    <row r="158" spans="1:10" ht="12">
      <c r="A158" s="203"/>
      <c r="B158" s="203"/>
      <c r="C158" s="203"/>
      <c r="D158" s="203"/>
      <c r="E158" s="203"/>
      <c r="F158" s="203"/>
      <c r="G158" s="203"/>
      <c r="H158" s="203"/>
      <c r="I158" s="203"/>
      <c r="J158" s="205"/>
    </row>
    <row r="159" spans="1:10" ht="12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</row>
    <row r="160" spans="1:10" ht="12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</row>
    <row r="161" spans="1:10" ht="12">
      <c r="A161" s="203"/>
      <c r="B161" s="203"/>
      <c r="C161" s="203"/>
      <c r="D161" s="203"/>
      <c r="E161" s="203"/>
      <c r="F161" s="203"/>
      <c r="G161" s="203"/>
      <c r="H161" s="203"/>
      <c r="I161" s="203"/>
      <c r="J161" s="205"/>
    </row>
    <row r="162" spans="1:10" ht="12">
      <c r="A162" s="203"/>
      <c r="B162" s="203"/>
      <c r="C162" s="203"/>
      <c r="D162" s="203"/>
      <c r="E162" s="203"/>
      <c r="F162" s="203"/>
      <c r="G162" s="203"/>
      <c r="H162" s="203"/>
      <c r="I162" s="203"/>
      <c r="J162" s="205"/>
    </row>
    <row r="163" spans="1:10" ht="12">
      <c r="A163" s="203"/>
      <c r="B163" s="203"/>
      <c r="C163" s="203"/>
      <c r="D163" s="203"/>
      <c r="E163" s="203"/>
      <c r="F163" s="203"/>
      <c r="G163" s="203"/>
      <c r="H163" s="203"/>
      <c r="J163" s="205"/>
    </row>
    <row r="169" ht="12">
      <c r="I169" s="206"/>
    </row>
    <row r="170" spans="7:8" ht="12">
      <c r="G170" s="206"/>
      <c r="H170" s="206"/>
    </row>
    <row r="172" ht="4.5" customHeight="1"/>
    <row r="174" ht="4.5" customHeight="1"/>
    <row r="176" ht="4.5" customHeight="1"/>
    <row r="178" ht="4.5" customHeight="1"/>
    <row r="182" ht="4.5" customHeight="1"/>
    <row r="186" ht="4.5" customHeight="1"/>
    <row r="191" ht="12">
      <c r="F191" s="207"/>
    </row>
    <row r="192" ht="12">
      <c r="F192" s="207"/>
    </row>
    <row r="193" ht="12">
      <c r="F193" s="207"/>
    </row>
    <row r="199" ht="4.5" customHeight="1"/>
    <row r="203" ht="4.5" customHeight="1"/>
    <row r="204" spans="2:3" ht="12">
      <c r="B204" s="208"/>
      <c r="C204" s="208"/>
    </row>
  </sheetData>
  <mergeCells count="6">
    <mergeCell ref="G7:I7"/>
    <mergeCell ref="A6:A8"/>
    <mergeCell ref="B3:J3"/>
    <mergeCell ref="B6:I6"/>
    <mergeCell ref="J6:J8"/>
    <mergeCell ref="B7:F7"/>
  </mergeCells>
  <hyperlinks>
    <hyperlink ref="K9" r:id="rId1" display="=@npv(L8,K9)"/>
    <hyperlink ref="L9" r:id="rId2" display="=@npv(L8,K9)"/>
    <hyperlink ref="K10:K39" r:id="rId3" display="=@npv(L8,K9)"/>
    <hyperlink ref="L10:L39" r:id="rId4" display="=@npv(L8,K9)"/>
    <hyperlink ref="K40" r:id="rId5" display="=@npv(L8,K9)"/>
    <hyperlink ref="L40" r:id="rId6" display="=@npv(L8,K9)"/>
    <hyperlink ref="L41:L78" r:id="rId7" display="=@npv(L8,K9)"/>
    <hyperlink ref="K41:K78" r:id="rId8" display="=@npv(L8,K9)"/>
    <hyperlink ref="L79:L128" r:id="rId9" display="=@npv(L8,K9)"/>
    <hyperlink ref="K79:K128" r:id="rId10" display="=@npv(L8,K9)"/>
  </hyperlinks>
  <printOptions/>
  <pageMargins left="0.75" right="0.75" top="1" bottom="1" header="0.5" footer="0.5"/>
  <pageSetup fitToHeight="3" fitToWidth="1" horizontalDpi="600" verticalDpi="600" orientation="landscape" scale="75" r:id="rId11"/>
  <headerFooter alignWithMargins="0">
    <oddFooter>&amp;L&amp;"Braggadocio,Regular"CSP&amp;X2&amp;RPage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J. Kuipers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Kuipers</dc:creator>
  <cp:keywords/>
  <dc:description/>
  <cp:lastModifiedBy>David Chambers</cp:lastModifiedBy>
  <cp:lastPrinted>2003-05-20T21:08:10Z</cp:lastPrinted>
  <dcterms:created xsi:type="dcterms:W3CDTF">2000-04-13T18:49:11Z</dcterms:created>
  <dcterms:modified xsi:type="dcterms:W3CDTF">2003-05-23T19:41:32Z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